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e6-45-65\Settore3\orsolinda\TEMPESTIVITA pagamenti\2022\"/>
    </mc:Choice>
  </mc:AlternateContent>
  <xr:revisionPtr revIDLastSave="0" documentId="13_ncr:40009_{6CAAF756-638D-4798-9119-57847F99B84B}" xr6:coauthVersionLast="47" xr6:coauthVersionMax="47" xr10:uidLastSave="{00000000-0000-0000-0000-000000000000}"/>
  <bookViews>
    <workbookView xWindow="-120" yWindow="-120" windowWidth="29040" windowHeight="15840"/>
  </bookViews>
  <sheets>
    <sheet name="stampa (1)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0" i="2" l="1"/>
  <c r="L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<sst xmlns="http://schemas.openxmlformats.org/spreadsheetml/2006/main" count="1312" uniqueCount="266">
  <si>
    <t>10-10-2022 -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</si>
  <si>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</si>
  <si>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</si>
  <si>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</si>
  <si>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</si>
  <si>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</si>
  <si>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</si>
  <si>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</si>
  <si>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</si>
  <si>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</si>
  <si>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</si>
  <si>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</si>
  <si>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</si>
  <si>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</si>
  <si>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</si>
  <si>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</si>
  <si>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</si>
  <si>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</si>
  <si>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CIBIX</t>
  </si>
  <si>
    <t>IT02071801209</t>
  </si>
  <si>
    <t>DF1RK0</t>
  </si>
  <si>
    <t>KYOCERA DOCUMENT SOLUTIONS ITALIA SPA</t>
  </si>
  <si>
    <t>IT02973040963</t>
  </si>
  <si>
    <t>FOTOCOPIATRICI 28 L2 - 48 MESI</t>
  </si>
  <si>
    <t>W53D96</t>
  </si>
  <si>
    <t>Pegaso s.r.l</t>
  </si>
  <si>
    <t>IT02878860838</t>
  </si>
  <si>
    <t>S.MED.E. PANTELLERIA S.P.A.</t>
  </si>
  <si>
    <t>IT03620860829</t>
  </si>
  <si>
    <t>Fattura per Nuova connessione straordinaria in BT codice cliente 128078</t>
  </si>
  <si>
    <t>Fattura per Nuova connessione straordinaria in BT codice cliente 128077</t>
  </si>
  <si>
    <t>PANTEL IMPIANTI DI RIZZO SALVATORE</t>
  </si>
  <si>
    <t>RZZSVT72B29G315Q</t>
  </si>
  <si>
    <t>IT01652100817</t>
  </si>
  <si>
    <t>S.I.A.E.</t>
  </si>
  <si>
    <t>IT00987061009</t>
  </si>
  <si>
    <t>Uff.TRAPANI PIAZZA CAVOUR - . PER.08/08/2021-11/09/2021 Concerto leggera 100880120210</t>
  </si>
  <si>
    <t>TELECOM ITALIA S.P.A.</t>
  </si>
  <si>
    <t>IT00488410010</t>
  </si>
  <si>
    <t>5BIM 2021</t>
  </si>
  <si>
    <t>W13GF7</t>
  </si>
  <si>
    <t>DI MARZO EGLE MARIA</t>
  </si>
  <si>
    <t>DMRGMR47M56G315T</t>
  </si>
  <si>
    <t>IT00138260815</t>
  </si>
  <si>
    <t>Fattura PA immediata (TD01) del 11/08/2021 N.ro 8/PA</t>
  </si>
  <si>
    <t>Fattura per Nuova connessione temporanea in BT codice cliente 128059</t>
  </si>
  <si>
    <t>Fattura per Nuova connessione temporanea in BT codice cliente 128061</t>
  </si>
  <si>
    <t>Impresa Portuale S.R.L</t>
  </si>
  <si>
    <t>IT01744360817</t>
  </si>
  <si>
    <t>Fattura di vendita PV3</t>
  </si>
  <si>
    <t>Brignone S.R.L.S</t>
  </si>
  <si>
    <t>IT02761210810</t>
  </si>
  <si>
    <t>VENDITA ACQUA MINERALE ML 500 PER MIGRANTI SOCCORSI ANNO 2021</t>
  </si>
  <si>
    <t>PALUMBO COSTRUZIONI SRL</t>
  </si>
  <si>
    <t>IT02212410845</t>
  </si>
  <si>
    <t>Anticipazione fattura</t>
  </si>
  <si>
    <t>AGOSTARA DOMENICO</t>
  </si>
  <si>
    <t>GSTDNC68P19G273P</t>
  </si>
  <si>
    <t>IT05050740827</t>
  </si>
  <si>
    <t>QQRZQJ</t>
  </si>
  <si>
    <t>ACCADUEO SOC. COOP.</t>
  </si>
  <si>
    <t>IT01444060816</t>
  </si>
  <si>
    <t>COOPERATIVA SOCIALE L'ARCA ONLUS</t>
  </si>
  <si>
    <t>IT04641620820</t>
  </si>
  <si>
    <t>SERVACI S.A.S. DI BONOMO LEONA - RDA LIDIA &amp; C.</t>
  </si>
  <si>
    <t>BNMLRD59P67G315Y</t>
  </si>
  <si>
    <t>IT01729200814</t>
  </si>
  <si>
    <t>IMMEDIA SPA EX HALLEY CONSULTING SPA</t>
  </si>
  <si>
    <t>IT02154040808</t>
  </si>
  <si>
    <t>FATTURA ELETTRONICA</t>
  </si>
  <si>
    <t>N</t>
  </si>
  <si>
    <t>SVILUPPO MOBILI CATALANO SOC. COOP.</t>
  </si>
  <si>
    <t>IT02573370810</t>
  </si>
  <si>
    <t>SAN PIO APPALTI SRL</t>
  </si>
  <si>
    <t>IT01848720858</t>
  </si>
  <si>
    <t>PANTEL SERVICE SRL</t>
  </si>
  <si>
    <t>IT02753100813</t>
  </si>
  <si>
    <t>Fattura PA immediata (TD01) del 12/07/2021 N.ro 7/PA</t>
  </si>
  <si>
    <t>GANA SPORT S.R.L.</t>
  </si>
  <si>
    <t>IT02287970657</t>
  </si>
  <si>
    <t>PALILLA SALVATORE</t>
  </si>
  <si>
    <t>PLLSVT69C28I723T</t>
  </si>
  <si>
    <t>IT01909170845</t>
  </si>
  <si>
    <t>Fattura di vendita</t>
  </si>
  <si>
    <t>OLIVETTI SPA</t>
  </si>
  <si>
    <t>IT02298700010</t>
  </si>
  <si>
    <t>FARMACIA GRECO DI GRECO ROBERTO E C. SNC</t>
  </si>
  <si>
    <t>IT02691300814</t>
  </si>
  <si>
    <t>ASP-SERV.TESORERIA-IGIENE PUBBL.E MEDICINA - DEL LAVORO</t>
  </si>
  <si>
    <t>IT02363280815</t>
  </si>
  <si>
    <t>PARERE IG.SANITARIO DITTA IL CAPPERO ROSA</t>
  </si>
  <si>
    <t>UFJ0DW</t>
  </si>
  <si>
    <t>PARERE IG.SANITARIO DITTA TENUTE DI DONNAFUGATA</t>
  </si>
  <si>
    <t>Fattura PA immediata (TD01) del 11/06/2021 N.ro 6/PA</t>
  </si>
  <si>
    <t>4BIM 2021</t>
  </si>
  <si>
    <t>COMUNE DI PANTELLERIA</t>
  </si>
  <si>
    <t>IT00247990815</t>
  </si>
  <si>
    <t>B/Bollettazione</t>
  </si>
  <si>
    <t>SODEXO MOTIVATION SOLUTIONS ITALIA SRL</t>
  </si>
  <si>
    <t>IT05892970152</t>
  </si>
  <si>
    <t>7390554E15/Z072F3445D Sostituzione</t>
  </si>
  <si>
    <t>7390554E15/Z072F3445D Buoni Resi</t>
  </si>
  <si>
    <t>NUOVA FATTURA PER SCARTO/RIFIUTO FATTURA N. 8V00116860 DEL 3 BIMESTRE 2021 NUM LINEA 092313005487</t>
  </si>
  <si>
    <t>RIF. FATTURA: 7X2000392356 - CONTRATTO: 888010516011 - BIM.: 2Â° / 2020</t>
  </si>
  <si>
    <t>PIMMRR</t>
  </si>
  <si>
    <t>ECOFLUX</t>
  </si>
  <si>
    <t>IT03941480828</t>
  </si>
  <si>
    <t>STORNO TOTALE FT.141 04.12.2020 X MANCATA INDICAZIONE SPLYT PAYMENT</t>
  </si>
  <si>
    <t>VENDITA 3 C&amp;P TMS - RIEMESSA CON SPLIT PAYMENT</t>
  </si>
  <si>
    <t>PARERE IG.SANITARIO AZ.AGR.EMANUELA BONOMO</t>
  </si>
  <si>
    <t>3BIM 2021</t>
  </si>
  <si>
    <t>PIRRECA MAURIZIO</t>
  </si>
  <si>
    <t>PRRMRZ77E11B780E</t>
  </si>
  <si>
    <t>IT02677150811</t>
  </si>
  <si>
    <t>ASSESSORATO REGIONALE DELL'AGRICOLTURA DELLO - SVILUPPO</t>
  </si>
  <si>
    <t>IT02711070827</t>
  </si>
  <si>
    <t>INSERZIONE IN GURS</t>
  </si>
  <si>
    <t>A.S.A.IMPIANTI S.R.L.</t>
  </si>
  <si>
    <t>IT01777010818</t>
  </si>
  <si>
    <t>DNV GL BUSINESS ASSURANCE ITALIA SRL</t>
  </si>
  <si>
    <t>IT00820340966</t>
  </si>
  <si>
    <t>RIFERIMENTI / ORDER REFERENCE AND DESCRIPTION COMUNE DI PANTELLERI_ISO 9001:2015_PRJC-570747</t>
  </si>
  <si>
    <t>MAGGIOLI S.P.A.</t>
  </si>
  <si>
    <t>IT02066400405</t>
  </si>
  <si>
    <t>FATTURA</t>
  </si>
  <si>
    <t>VENDITA PRODOTTI FONIA E DATI LINEA N. 0923540201</t>
  </si>
  <si>
    <t>Idragest S.r.l.</t>
  </si>
  <si>
    <t>IT02159670799</t>
  </si>
  <si>
    <t>Servizio di ricerca perdite nella rete di distribuzione idrica di Pantelleria. CIG Z052FBF387</t>
  </si>
  <si>
    <t>COOPERATIVA SOCIALE NIDO D'ARGENTO</t>
  </si>
  <si>
    <t>IT03882030822</t>
  </si>
  <si>
    <t>INTEGRAZIONE IVA DEL 5% PER SERVIZIO DI ASSISTENZA ALL'AUTONOMIA IN AMBITO SCOLASTICO IN FAVORE DELL'UTENTE B.P. E H.A. PERIODO DA SETTEMRE 18 A DIC 18, ANNO 2019, DA GEN 20 A OTT 20</t>
  </si>
  <si>
    <t>POLICARDO FRANCESCO GIANFRANCO</t>
  </si>
  <si>
    <t>PLCFNC64R11G315X</t>
  </si>
  <si>
    <t>IT01930660814</t>
  </si>
  <si>
    <t>Fattura PA immediata (TD01) del 18/12/2020 N.ro 1/PA</t>
  </si>
  <si>
    <t>CENTRO REVISIONE AUTO MASTER CAR SNC</t>
  </si>
  <si>
    <t>IT01576550816</t>
  </si>
  <si>
    <t>REVISIONE AUTO</t>
  </si>
  <si>
    <t>CELI ENERGIA SRL</t>
  </si>
  <si>
    <t>IT02371850815</t>
  </si>
  <si>
    <t>SICILIANA EDILE SRL</t>
  </si>
  <si>
    <t>IT02134990817</t>
  </si>
  <si>
    <t>FINA ROMANO GIUSEPPE</t>
  </si>
  <si>
    <t>FNIRNG76P25L219L</t>
  </si>
  <si>
    <t>Z7119CFA0C</t>
  </si>
  <si>
    <t>ARUBA PEC S.P.A.</t>
  </si>
  <si>
    <t>IT01879020517</t>
  </si>
  <si>
    <t>68Z8LP</t>
  </si>
  <si>
    <t>TRAPANI SERVIZI SPA</t>
  </si>
  <si>
    <t>IT01976500817</t>
  </si>
  <si>
    <t>D'ANCONA ANTONIO UGO S.R.L.</t>
  </si>
  <si>
    <t>IT02482060817</t>
  </si>
  <si>
    <t>TRASPORTO ACQUA CON AUTOBOTTE DELIBERA SETTORE 208 DEL 23-03-2020 GENERALE 513 DEL 25-03-2020 CIG eZB22C7BA67</t>
  </si>
  <si>
    <t>ARUBA S.P.A.</t>
  </si>
  <si>
    <t>IT01573850516</t>
  </si>
  <si>
    <t>2BIM 2020</t>
  </si>
  <si>
    <t>GAZZETTA UFFICIALE DELLA - REGIONE SICILIANA</t>
  </si>
  <si>
    <t>MUNICIPIA SPA</t>
  </si>
  <si>
    <t>IT01973900838</t>
  </si>
  <si>
    <t>cig Z3010E6A30</t>
  </si>
  <si>
    <t>SOFIA COSTRUZIONI SRL</t>
  </si>
  <si>
    <t>IT04713650820</t>
  </si>
  <si>
    <t>PROGETTO PER L'ESECUZIONE DI INTERVENTI DI RAZIONALIZZAZIONE ED EFFICIENTAMENTO IMPIANTI DI CONSEGNA E DI MISURA ALLE UTENZE IDRICHE</t>
  </si>
  <si>
    <t>1BIM 2020</t>
  </si>
  <si>
    <t>VENDITA PRODOTTI FONIA E DATI LINEA N. 0923911167</t>
  </si>
  <si>
    <t>AZIENDA SANITARIA PROVINCIALE DI TRAPANI</t>
  </si>
  <si>
    <t>QUOTE SOCIALI RICOVERI IN RSA</t>
  </si>
  <si>
    <t>6BIM 2019</t>
  </si>
  <si>
    <t>Uff.TRAPANI CANTINA DONNA FUGATA PER.04/08/2018-05/08/2018 Feste in piazza</t>
  </si>
  <si>
    <t>AZIONE SOCIALE</t>
  </si>
  <si>
    <t>IT03501840825</t>
  </si>
  <si>
    <t>5BIM 2019</t>
  </si>
  <si>
    <t>ECO SYSTEM SRL</t>
  </si>
  <si>
    <t>IT01725680852</t>
  </si>
  <si>
    <t>4BIM 2019</t>
  </si>
  <si>
    <t>STIPULA CONTRATTO DI FORNITURA IDRICA NÂ° 4169 - UTENZA 5269 - INDIRIZZO DI FORNITURA: VIA VENEZIA (GIARDINO).</t>
  </si>
  <si>
    <t>3BIM 2019</t>
  </si>
  <si>
    <t>TOTALE A SALDO FATTURA</t>
  </si>
  <si>
    <t>PARZIALE SU SINGOLA VOCE FATTURA</t>
  </si>
  <si>
    <t>VENDITA PRODOTTI FONIA E DATI</t>
  </si>
  <si>
    <t>OdA n.4138209 - Protocollo n. 2857</t>
  </si>
  <si>
    <t>2BIM 2019</t>
  </si>
  <si>
    <t>SIKELIA COSTRUZIONI SPA</t>
  </si>
  <si>
    <t>IT05039970875</t>
  </si>
  <si>
    <t>DAMIGA S.R.L.</t>
  </si>
  <si>
    <t>IT02379180819</t>
  </si>
  <si>
    <t>ONERI DI ACCESSO A DISCARICA</t>
  </si>
  <si>
    <t>QUOTE SOCIALI RICOVERO RSA UTENTE S.G.</t>
  </si>
  <si>
    <t>S.SEBASTIANO-COMUNITA' ALLOGGIO ANZIANI - DI LIPARI VIN</t>
  </si>
  <si>
    <t>LPRVCN79M56G348K</t>
  </si>
  <si>
    <t>IT02342800816</t>
  </si>
  <si>
    <t>RETTA DI RICOVERO CON VITTO E ALLOGGIO PRESTATA ALLA SIGNORA DI MASCIO VITA DONATA PRESSO LA COMUNITA' ALLOGGIO "SAN SEBASTIANO"</t>
  </si>
  <si>
    <t>1BIM 2019</t>
  </si>
  <si>
    <t>PROGETTO CONTRACT SRL</t>
  </si>
  <si>
    <t>IT04368740827</t>
  </si>
  <si>
    <t>LAVORI DI RIEFFICIENTAMENTO ENERGETICO CON TECNICHE DI BIOEDILIZIA, NONCHE' ABBATTIMENTO DELLE BARRIERE ARCHITETTONICHE DEL PALAZZO MUNICIPALE ANCHE SEDE DELLA COC DI PROTEZIONE CIVILE - PANTELLERIA</t>
  </si>
  <si>
    <t>6BIM 2018</t>
  </si>
  <si>
    <t>Vendita Apparati New Generation</t>
  </si>
  <si>
    <t>SALUS SOC.COOP.SOCIALE</t>
  </si>
  <si>
    <t>IT05548120822</t>
  </si>
  <si>
    <t>Retta disabile psichico Ferrandes Dorotea Anna mese di Agosto 2018</t>
  </si>
  <si>
    <t>MADRE TERESA DI CALCUTTA SOC. COOP. SOCIALE ONLUS</t>
  </si>
  <si>
    <t>IT01351820814</t>
  </si>
  <si>
    <t>PRESTAZIONI DI ASS. DOMICILIARE SOCIO-ASS. "NON IN ADI" CIG: X3419D5866 CUP: H21E15000790001</t>
  </si>
  <si>
    <t>CASSARO SERVIZI INTEGRATI SRL</t>
  </si>
  <si>
    <t>IT02052690845</t>
  </si>
  <si>
    <t>Servizio straordinario di custodia durante le operazioni di estumunalzione straordinaria nel cimitero di Khamma</t>
  </si>
  <si>
    <t>POSTE ITALIANE S.P.A.</t>
  </si>
  <si>
    <t>IT01114601006</t>
  </si>
  <si>
    <t>NCG 704428/10 16/05/2018 64029</t>
  </si>
  <si>
    <t>3BIM 2018</t>
  </si>
  <si>
    <t>OdA n.3580556 - Protocollo n. 4776</t>
  </si>
  <si>
    <t>Corso Legnami Srl</t>
  </si>
  <si>
    <t>IT02077630818</t>
  </si>
  <si>
    <t>2BIM 2018</t>
  </si>
  <si>
    <t>M.A.M. GROUP S.R.L.</t>
  </si>
  <si>
    <t>IT02927370839</t>
  </si>
  <si>
    <t>Ft Split Payment ex art.17-ter DPR 633/72</t>
  </si>
  <si>
    <t>F.LLI CASANO S.R.L.</t>
  </si>
  <si>
    <t>IT02138540816</t>
  </si>
  <si>
    <t>Manutenzione , riparazione e sistemazione di infissi negli edifici scolastici di Corso Umberto e di Via Dante</t>
  </si>
  <si>
    <t>ACCIONA AGUA S.A.</t>
  </si>
  <si>
    <t>IT04694710965</t>
  </si>
  <si>
    <t>SOFIP S.P.A</t>
  </si>
  <si>
    <t>IT03486970829</t>
  </si>
  <si>
    <t>PROTECNO SRL</t>
  </si>
  <si>
    <t>IT00952660413</t>
  </si>
  <si>
    <t>FATTURA DI VENDITA PA</t>
  </si>
  <si>
    <t>NCG 704391/10 03/10/2017 64029</t>
  </si>
  <si>
    <t>Fattura per Nuova connessione permanente ordinaria in BT codice cliente 125959</t>
  </si>
  <si>
    <t>Fattura per Nuova connessione permanente ordinaria in BT codice cliente 125960</t>
  </si>
  <si>
    <t>6BIM 2017</t>
  </si>
  <si>
    <t>5BIM 2017</t>
  </si>
  <si>
    <t>Provvigione buoni d'acqua</t>
  </si>
  <si>
    <t>Provvigione buoni acqua mese Agosto 2015</t>
  </si>
  <si>
    <t>COOPERATIVA SOCIALE TANIT</t>
  </si>
  <si>
    <t>IT02359720816</t>
  </si>
  <si>
    <t>PATTO ACCREDITAMENTO: FORNITURA PRESTAZIONI TIPO SOCIO EDUCATIVI: MESE GENNAIO 2017 UTENTE R.F. (CIG</t>
  </si>
  <si>
    <t>PATTO ACCREDITAMENTO: FORNITURA PRESTAZIONI TIPO SOCIO EDUCATIVI MESE DICEMBRE 2016 UTENTE R.F.(CIG)</t>
  </si>
  <si>
    <t>Provvigione buoni d'acqua 2015</t>
  </si>
  <si>
    <t>PATTO ACCREDITAMENTO: FORNITURA PRESTAZIONI TIPO SOCIO EDUCATIVI MESE NOVEMBRE 2016 UTENTE R.F.(CIG)</t>
  </si>
  <si>
    <t>VS DARE PER RIMBORSO SOMME ANTICIPATE PER LAVORI TELECOM - PRATICA N. SP0374259 SPOSTAMENTO IMPIANTO</t>
  </si>
  <si>
    <t>PATTO ACCREDITAMENTO: FORNITURA PRESTAZIONI TIPO SOCIO EDUCATIVI MESE SETTEMBRE 2016 UTENTE R.F.(CIG</t>
  </si>
  <si>
    <t>Nota di variazione di sola Iva ai sensi dell' art. 26 dpr 633/72 per errata applicazione iva ( 5% an</t>
  </si>
  <si>
    <t>Fattura per Variazione fornitura impianto produttore codice cliente 119404</t>
  </si>
  <si>
    <t>Provvigione buoni acqua Agosto 2015</t>
  </si>
  <si>
    <t>RIEMISSIONE CONTO 6/15 N.8V00622806-LINEA 092313344897-SPLIT PAYMENT</t>
  </si>
  <si>
    <t>DAY RISTOSERVICE S.P.A.</t>
  </si>
  <si>
    <t>IT03543000370</t>
  </si>
  <si>
    <t>XRFAAC051396/13 3/2/16 STAMPATI</t>
  </si>
  <si>
    <t>SELF DI FEDERICA CAPONI</t>
  </si>
  <si>
    <t>CPNFRC73D46I046Z</t>
  </si>
  <si>
    <t>IT01905220503</t>
  </si>
  <si>
    <t>Provvigione buoni acqua Novembre 2015</t>
  </si>
  <si>
    <t>Provvigione buoni acqua Dicembre 2015</t>
  </si>
  <si>
    <t>DEDAGROUP SPA</t>
  </si>
  <si>
    <t>IT01763870225</t>
  </si>
  <si>
    <t>FORNITURA SERVIZIO</t>
  </si>
  <si>
    <t>Provvigione buoni acqua Settembre 2015</t>
  </si>
  <si>
    <t>Provvigione buoni acqua Ottobre 2015</t>
  </si>
  <si>
    <t>Provvigione buoni acqua Luglio 2015</t>
  </si>
  <si>
    <t>Provvigione buoni acqua Maggio 2015</t>
  </si>
  <si>
    <t>PROVVIGIONE BUONI ACQUA MESE GIUGNO 2015</t>
  </si>
  <si>
    <t>Provvigione buoni acqua Aprile 2015</t>
  </si>
  <si>
    <t>Fattura per Variazione fornitura impianto produttore codice cliente 110644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</si>
</sst>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05E9A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 applyAlignment="1">
      <alignment horizontal="right" vertical="center"/>
    </xf>
    <xf numFmtId="21" fontId="18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17" fontId="0" fillId="0" borderId="10" xfId="0" applyNumberFormat="1" applyBorder="1"/>
    <xf numFmtId="4" fontId="16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showGridLines="0" tabSelected="1" topLeftCell="E251" workbookViewId="0">
      <selection activeCell="L270" sqref="L270:M270"/>
    </sheetView>
  </sheetViews>
  <sheetFormatPr defaultRowHeight="15" x14ac:dyDescent="0.25"/>
  <cols>
    <col min="1" max="1" width="15.5703125" bestFit="1" customWidth="1"/>
    <col min="2" max="2" width="15.7109375" bestFit="1" customWidth="1"/>
    <col min="3" max="3" width="19.140625" bestFit="1" customWidth="1"/>
    <col min="4" max="4" width="16.28515625" bestFit="1" customWidth="1"/>
    <col min="5" max="5" width="24.28515625" bestFit="1" customWidth="1"/>
    <col min="6" max="6" width="27.7109375" bestFit="1" customWidth="1"/>
    <col min="7" max="7" width="18.42578125" bestFit="1" customWidth="1"/>
    <col min="8" max="8" width="36.5703125" bestFit="1" customWidth="1"/>
    <col min="9" max="9" width="20.5703125" bestFit="1" customWidth="1"/>
    <col min="10" max="10" width="13.7109375" bestFit="1" customWidth="1"/>
    <col min="11" max="11" width="36.5703125" bestFit="1" customWidth="1"/>
    <col min="12" max="12" width="13.140625" bestFit="1" customWidth="1"/>
    <col min="13" max="13" width="15.42578125" bestFit="1" customWidth="1"/>
    <col min="14" max="14" width="13.5703125" bestFit="1" customWidth="1"/>
    <col min="15" max="15" width="15.5703125" bestFit="1" customWidth="1"/>
    <col min="16" max="16" width="18.5703125" bestFit="1" customWidth="1"/>
  </cols>
  <sheetData>
    <row r="1" spans="1:16" x14ac:dyDescent="0.25">
      <c r="A1" s="1" t="s">
        <v>0</v>
      </c>
      <c r="B1" s="2">
        <v>0.51331018518518523</v>
      </c>
    </row>
    <row r="2" spans="1:16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x14ac:dyDescent="0.25">
      <c r="A3" s="4" t="s">
        <v>17</v>
      </c>
      <c r="B3" s="5">
        <v>44438</v>
      </c>
      <c r="C3" s="4" t="str">
        <f>"A773"</f>
        <v>A773</v>
      </c>
      <c r="D3" s="4">
        <v>5683110055</v>
      </c>
      <c r="E3" s="5">
        <v>44441</v>
      </c>
      <c r="F3" s="4">
        <v>1676</v>
      </c>
      <c r="G3" s="4">
        <v>4673</v>
      </c>
      <c r="H3" s="4" t="s">
        <v>18</v>
      </c>
      <c r="I3" s="4"/>
      <c r="J3" s="4" t="s">
        <v>19</v>
      </c>
      <c r="K3" s="4"/>
      <c r="L3" s="6">
        <v>1604.06</v>
      </c>
      <c r="M3" s="6">
        <v>1314.8</v>
      </c>
      <c r="N3" s="5">
        <v>44468</v>
      </c>
      <c r="O3" s="5">
        <v>44539</v>
      </c>
      <c r="P3" s="4" t="s">
        <v>20</v>
      </c>
    </row>
    <row r="4" spans="1:16" x14ac:dyDescent="0.25">
      <c r="A4" s="4" t="s">
        <v>17</v>
      </c>
      <c r="B4" s="5">
        <v>44434</v>
      </c>
      <c r="C4" s="4" t="str">
        <f>"1010707694"</f>
        <v>1010707694</v>
      </c>
      <c r="D4" s="4">
        <v>5671964204</v>
      </c>
      <c r="E4" s="5">
        <v>44441</v>
      </c>
      <c r="F4" s="4">
        <v>1680</v>
      </c>
      <c r="G4" s="4">
        <v>4439</v>
      </c>
      <c r="H4" s="4" t="s">
        <v>21</v>
      </c>
      <c r="I4" s="4">
        <v>1788080156</v>
      </c>
      <c r="J4" s="4" t="s">
        <v>22</v>
      </c>
      <c r="K4" s="4" t="s">
        <v>23</v>
      </c>
      <c r="L4" s="4">
        <v>477.59</v>
      </c>
      <c r="M4" s="4">
        <v>391.47</v>
      </c>
      <c r="N4" s="5">
        <v>44464</v>
      </c>
      <c r="O4" s="5">
        <v>44476</v>
      </c>
      <c r="P4" s="4" t="s">
        <v>24</v>
      </c>
    </row>
    <row r="5" spans="1:16" x14ac:dyDescent="0.25">
      <c r="A5" s="4" t="s">
        <v>17</v>
      </c>
      <c r="B5" s="5">
        <v>44429</v>
      </c>
      <c r="C5" s="4" t="str">
        <f>"49"</f>
        <v>49</v>
      </c>
      <c r="D5" s="4">
        <v>5651649543</v>
      </c>
      <c r="E5" s="5">
        <v>44445</v>
      </c>
      <c r="F5" s="4">
        <v>1694</v>
      </c>
      <c r="G5" s="4">
        <v>7507</v>
      </c>
      <c r="H5" s="4" t="s">
        <v>25</v>
      </c>
      <c r="I5" s="4"/>
      <c r="J5" s="4" t="s">
        <v>26</v>
      </c>
      <c r="K5" s="4"/>
      <c r="L5" s="6">
        <v>24486</v>
      </c>
      <c r="M5" s="6">
        <v>22260</v>
      </c>
      <c r="N5" s="5">
        <v>44459</v>
      </c>
      <c r="O5" s="5">
        <v>44503</v>
      </c>
      <c r="P5" s="4" t="s">
        <v>24</v>
      </c>
    </row>
    <row r="6" spans="1:16" x14ac:dyDescent="0.25">
      <c r="A6" s="4" t="s">
        <v>17</v>
      </c>
      <c r="B6" s="5">
        <v>44428</v>
      </c>
      <c r="C6" s="4" t="str">
        <f>"7/PNL/FPA"</f>
        <v>7/PNL/FPA</v>
      </c>
      <c r="D6" s="4">
        <v>5654372671</v>
      </c>
      <c r="E6" s="5">
        <v>44441</v>
      </c>
      <c r="F6" s="4">
        <v>1683</v>
      </c>
      <c r="G6" s="4">
        <v>466</v>
      </c>
      <c r="H6" s="4" t="s">
        <v>27</v>
      </c>
      <c r="I6" s="4">
        <v>3620860829</v>
      </c>
      <c r="J6" s="4" t="s">
        <v>28</v>
      </c>
      <c r="K6" s="4" t="s">
        <v>29</v>
      </c>
      <c r="L6" s="4">
        <v>105.45</v>
      </c>
      <c r="M6" s="4">
        <v>89.32</v>
      </c>
      <c r="N6" s="5">
        <v>44461</v>
      </c>
      <c r="O6" s="5">
        <v>44536</v>
      </c>
      <c r="P6" s="4" t="s">
        <v>24</v>
      </c>
    </row>
    <row r="7" spans="1:16" x14ac:dyDescent="0.25">
      <c r="A7" s="4" t="s">
        <v>17</v>
      </c>
      <c r="B7" s="5">
        <v>44426</v>
      </c>
      <c r="C7" s="4" t="str">
        <f>"6/PNL/FPA"</f>
        <v>6/PNL/FPA</v>
      </c>
      <c r="D7" s="4">
        <v>5654372648</v>
      </c>
      <c r="E7" s="5">
        <v>44441</v>
      </c>
      <c r="F7" s="4">
        <v>1682</v>
      </c>
      <c r="G7" s="4">
        <v>466</v>
      </c>
      <c r="H7" s="4" t="s">
        <v>27</v>
      </c>
      <c r="I7" s="4">
        <v>3620860829</v>
      </c>
      <c r="J7" s="4" t="s">
        <v>28</v>
      </c>
      <c r="K7" s="4" t="s">
        <v>30</v>
      </c>
      <c r="L7" s="4">
        <v>105.45</v>
      </c>
      <c r="M7" s="4">
        <v>89.32</v>
      </c>
      <c r="N7" s="5">
        <v>44461</v>
      </c>
      <c r="O7" s="5">
        <v>44536</v>
      </c>
      <c r="P7" s="4" t="s">
        <v>24</v>
      </c>
    </row>
    <row r="8" spans="1:16" x14ac:dyDescent="0.25">
      <c r="A8" s="4" t="s">
        <v>17</v>
      </c>
      <c r="B8" s="5">
        <v>44421</v>
      </c>
      <c r="C8" s="4" t="str">
        <f>"FPA 134/21"</f>
        <v>FPA 134/21</v>
      </c>
      <c r="D8" s="4">
        <v>5621478695</v>
      </c>
      <c r="E8" s="5">
        <v>44431</v>
      </c>
      <c r="F8" s="4">
        <v>1629</v>
      </c>
      <c r="G8" s="4">
        <v>1623</v>
      </c>
      <c r="H8" s="4" t="s">
        <v>31</v>
      </c>
      <c r="I8" s="4" t="s">
        <v>32</v>
      </c>
      <c r="J8" s="4" t="s">
        <v>33</v>
      </c>
      <c r="K8" s="4"/>
      <c r="L8" s="4">
        <v>732</v>
      </c>
      <c r="M8" s="4">
        <v>600</v>
      </c>
      <c r="N8" s="5">
        <v>44451</v>
      </c>
      <c r="O8" s="5">
        <v>44536</v>
      </c>
      <c r="P8" s="4" t="s">
        <v>20</v>
      </c>
    </row>
    <row r="9" spans="1:16" x14ac:dyDescent="0.25">
      <c r="A9" s="4" t="s">
        <v>17</v>
      </c>
      <c r="B9" s="5">
        <v>44421</v>
      </c>
      <c r="C9" s="4" t="str">
        <f>"1621009362"</f>
        <v>1621009362</v>
      </c>
      <c r="D9" s="4">
        <v>5631370526</v>
      </c>
      <c r="E9" s="5">
        <v>44439</v>
      </c>
      <c r="F9" s="4">
        <v>1667</v>
      </c>
      <c r="G9" s="4">
        <v>4701</v>
      </c>
      <c r="H9" s="4" t="s">
        <v>34</v>
      </c>
      <c r="I9" s="4">
        <v>1336610587</v>
      </c>
      <c r="J9" s="4" t="s">
        <v>35</v>
      </c>
      <c r="K9" s="4" t="s">
        <v>36</v>
      </c>
      <c r="L9" s="6">
        <v>2346.06</v>
      </c>
      <c r="M9" s="6">
        <v>1923</v>
      </c>
      <c r="N9" s="5">
        <v>44454</v>
      </c>
      <c r="O9" s="5">
        <v>44511</v>
      </c>
      <c r="P9" s="4" t="s">
        <v>20</v>
      </c>
    </row>
    <row r="10" spans="1:16" x14ac:dyDescent="0.25">
      <c r="A10" s="4" t="s">
        <v>17</v>
      </c>
      <c r="B10" s="5">
        <v>44419</v>
      </c>
      <c r="C10" s="4" t="str">
        <f>"7X02540265"</f>
        <v>7X02540265</v>
      </c>
      <c r="D10" s="4">
        <v>5625155649</v>
      </c>
      <c r="E10" s="5">
        <v>44431</v>
      </c>
      <c r="F10" s="4">
        <v>1644</v>
      </c>
      <c r="G10" s="4">
        <v>3564</v>
      </c>
      <c r="H10" s="4" t="s">
        <v>37</v>
      </c>
      <c r="I10" s="4">
        <v>488410010</v>
      </c>
      <c r="J10" s="4" t="s">
        <v>38</v>
      </c>
      <c r="K10" s="4" t="s">
        <v>39</v>
      </c>
      <c r="L10" s="4">
        <v>153.72</v>
      </c>
      <c r="M10" s="4">
        <v>126</v>
      </c>
      <c r="N10" s="5">
        <v>44452</v>
      </c>
      <c r="O10" s="5">
        <v>44484</v>
      </c>
      <c r="P10" s="4" t="s">
        <v>40</v>
      </c>
    </row>
    <row r="11" spans="1:16" x14ac:dyDescent="0.25">
      <c r="A11" s="4" t="s">
        <v>17</v>
      </c>
      <c r="B11" s="5">
        <v>44419</v>
      </c>
      <c r="C11" s="4" t="str">
        <f>"8V00262623"</f>
        <v>8V00262623</v>
      </c>
      <c r="D11" s="4">
        <v>5627939039</v>
      </c>
      <c r="E11" s="5">
        <v>44431</v>
      </c>
      <c r="F11" s="4">
        <v>1645</v>
      </c>
      <c r="G11" s="4">
        <v>3564</v>
      </c>
      <c r="H11" s="4" t="s">
        <v>37</v>
      </c>
      <c r="I11" s="4">
        <v>488410010</v>
      </c>
      <c r="J11" s="4" t="s">
        <v>38</v>
      </c>
      <c r="K11" s="4" t="s">
        <v>39</v>
      </c>
      <c r="L11" s="4">
        <v>144.19999999999999</v>
      </c>
      <c r="M11" s="4">
        <v>120</v>
      </c>
      <c r="N11" s="5">
        <v>44453</v>
      </c>
      <c r="O11" s="5">
        <v>44490</v>
      </c>
      <c r="P11" s="4" t="s">
        <v>20</v>
      </c>
    </row>
    <row r="12" spans="1:16" x14ac:dyDescent="0.25">
      <c r="A12" s="4" t="s">
        <v>17</v>
      </c>
      <c r="B12" s="5">
        <v>44419</v>
      </c>
      <c r="C12" s="4" t="str">
        <f>"8V00262869"</f>
        <v>8V00262869</v>
      </c>
      <c r="D12" s="4">
        <v>5628602794</v>
      </c>
      <c r="E12" s="5">
        <v>44439</v>
      </c>
      <c r="F12" s="4">
        <v>1670</v>
      </c>
      <c r="G12" s="4">
        <v>3564</v>
      </c>
      <c r="H12" s="4" t="s">
        <v>37</v>
      </c>
      <c r="I12" s="4">
        <v>488410010</v>
      </c>
      <c r="J12" s="4" t="s">
        <v>38</v>
      </c>
      <c r="K12" s="4" t="s">
        <v>39</v>
      </c>
      <c r="L12" s="4">
        <v>193.86</v>
      </c>
      <c r="M12" s="4">
        <v>160.86000000000001</v>
      </c>
      <c r="N12" s="5">
        <v>44453</v>
      </c>
      <c r="O12" s="5">
        <v>44490</v>
      </c>
      <c r="P12" s="4" t="s">
        <v>40</v>
      </c>
    </row>
    <row r="13" spans="1:16" x14ac:dyDescent="0.25">
      <c r="A13" s="4" t="s">
        <v>17</v>
      </c>
      <c r="B13" s="5">
        <v>44419</v>
      </c>
      <c r="C13" s="4" t="str">
        <f>"8V00263142"</f>
        <v>8V00263142</v>
      </c>
      <c r="D13" s="4">
        <v>5628602838</v>
      </c>
      <c r="E13" s="5">
        <v>44431</v>
      </c>
      <c r="F13" s="4">
        <v>1651</v>
      </c>
      <c r="G13" s="4">
        <v>3564</v>
      </c>
      <c r="H13" s="4" t="s">
        <v>37</v>
      </c>
      <c r="I13" s="4">
        <v>488410010</v>
      </c>
      <c r="J13" s="4" t="s">
        <v>38</v>
      </c>
      <c r="K13" s="4" t="s">
        <v>39</v>
      </c>
      <c r="L13" s="4">
        <v>96.62</v>
      </c>
      <c r="M13" s="4">
        <v>81</v>
      </c>
      <c r="N13" s="5">
        <v>44453</v>
      </c>
      <c r="O13" s="5">
        <v>44484</v>
      </c>
      <c r="P13" s="4" t="s">
        <v>40</v>
      </c>
    </row>
    <row r="14" spans="1:16" x14ac:dyDescent="0.25">
      <c r="A14" s="4" t="s">
        <v>17</v>
      </c>
      <c r="B14" s="5">
        <v>44419</v>
      </c>
      <c r="C14" s="4" t="str">
        <f>"8V00263306"</f>
        <v>8V00263306</v>
      </c>
      <c r="D14" s="4">
        <v>5628626895</v>
      </c>
      <c r="E14" s="5">
        <v>44439</v>
      </c>
      <c r="F14" s="4">
        <v>1672</v>
      </c>
      <c r="G14" s="4">
        <v>3564</v>
      </c>
      <c r="H14" s="4" t="s">
        <v>37</v>
      </c>
      <c r="I14" s="4">
        <v>488410010</v>
      </c>
      <c r="J14" s="4" t="s">
        <v>38</v>
      </c>
      <c r="K14" s="4" t="s">
        <v>39</v>
      </c>
      <c r="L14" s="4">
        <v>229.16</v>
      </c>
      <c r="M14" s="4">
        <v>187.84</v>
      </c>
      <c r="N14" s="5">
        <v>44453</v>
      </c>
      <c r="O14" s="5">
        <v>44510</v>
      </c>
      <c r="P14" s="4" t="s">
        <v>40</v>
      </c>
    </row>
    <row r="15" spans="1:16" x14ac:dyDescent="0.25">
      <c r="A15" s="4" t="s">
        <v>17</v>
      </c>
      <c r="B15" s="5">
        <v>44419</v>
      </c>
      <c r="C15" s="4" t="str">
        <f>"8V00263406"</f>
        <v>8V00263406</v>
      </c>
      <c r="D15" s="4">
        <v>5628602555</v>
      </c>
      <c r="E15" s="5">
        <v>44439</v>
      </c>
      <c r="F15" s="4">
        <v>1671</v>
      </c>
      <c r="G15" s="4">
        <v>3564</v>
      </c>
      <c r="H15" s="4" t="s">
        <v>37</v>
      </c>
      <c r="I15" s="4">
        <v>488410010</v>
      </c>
      <c r="J15" s="4" t="s">
        <v>38</v>
      </c>
      <c r="K15" s="4" t="s">
        <v>39</v>
      </c>
      <c r="L15" s="4">
        <v>2.85</v>
      </c>
      <c r="M15" s="4">
        <v>2.34</v>
      </c>
      <c r="N15" s="5">
        <v>44453</v>
      </c>
      <c r="O15" s="5">
        <v>44635</v>
      </c>
      <c r="P15" s="4" t="s">
        <v>40</v>
      </c>
    </row>
    <row r="16" spans="1:16" x14ac:dyDescent="0.25">
      <c r="A16" s="4" t="s">
        <v>17</v>
      </c>
      <c r="B16" s="5">
        <v>44419</v>
      </c>
      <c r="C16" s="4" t="str">
        <f>"8V00264138"</f>
        <v>8V00264138</v>
      </c>
      <c r="D16" s="4">
        <v>5628038878</v>
      </c>
      <c r="E16" s="5">
        <v>44431</v>
      </c>
      <c r="F16" s="4">
        <v>1646</v>
      </c>
      <c r="G16" s="4">
        <v>3564</v>
      </c>
      <c r="H16" s="4" t="s">
        <v>37</v>
      </c>
      <c r="I16" s="4">
        <v>488410010</v>
      </c>
      <c r="J16" s="4" t="s">
        <v>38</v>
      </c>
      <c r="K16" s="4" t="s">
        <v>39</v>
      </c>
      <c r="L16" s="4">
        <v>134.19999999999999</v>
      </c>
      <c r="M16" s="4">
        <v>110</v>
      </c>
      <c r="N16" s="5">
        <v>44453</v>
      </c>
      <c r="O16" s="5">
        <v>44490</v>
      </c>
      <c r="P16" s="4" t="s">
        <v>20</v>
      </c>
    </row>
    <row r="17" spans="1:16" x14ac:dyDescent="0.25">
      <c r="A17" s="4" t="s">
        <v>17</v>
      </c>
      <c r="B17" s="5">
        <v>44419</v>
      </c>
      <c r="C17" s="4" t="str">
        <f>"8V00264559"</f>
        <v>8V00264559</v>
      </c>
      <c r="D17" s="4">
        <v>5628627516</v>
      </c>
      <c r="E17" s="5">
        <v>44439</v>
      </c>
      <c r="F17" s="4">
        <v>1673</v>
      </c>
      <c r="G17" s="4">
        <v>3564</v>
      </c>
      <c r="H17" s="4" t="s">
        <v>37</v>
      </c>
      <c r="I17" s="4">
        <v>488410010</v>
      </c>
      <c r="J17" s="4" t="s">
        <v>38</v>
      </c>
      <c r="K17" s="4" t="s">
        <v>39</v>
      </c>
      <c r="L17" s="6">
        <v>2375.65</v>
      </c>
      <c r="M17" s="6">
        <v>1947.25</v>
      </c>
      <c r="N17" s="5">
        <v>44453</v>
      </c>
      <c r="O17" s="5">
        <v>44510</v>
      </c>
      <c r="P17" s="4" t="s">
        <v>40</v>
      </c>
    </row>
    <row r="18" spans="1:16" x14ac:dyDescent="0.25">
      <c r="A18" s="4" t="s">
        <v>17</v>
      </c>
      <c r="B18" s="5">
        <v>44419</v>
      </c>
      <c r="C18" s="4" t="str">
        <f>"8V00265309"</f>
        <v>8V00265309</v>
      </c>
      <c r="D18" s="4">
        <v>5628037758</v>
      </c>
      <c r="E18" s="5">
        <v>44431</v>
      </c>
      <c r="F18" s="4">
        <v>1647</v>
      </c>
      <c r="G18" s="4">
        <v>3564</v>
      </c>
      <c r="H18" s="4" t="s">
        <v>37</v>
      </c>
      <c r="I18" s="4">
        <v>488410010</v>
      </c>
      <c r="J18" s="4" t="s">
        <v>38</v>
      </c>
      <c r="K18" s="4" t="s">
        <v>39</v>
      </c>
      <c r="L18" s="4">
        <v>180.8</v>
      </c>
      <c r="M18" s="4">
        <v>150</v>
      </c>
      <c r="N18" s="5">
        <v>44453</v>
      </c>
      <c r="O18" s="5">
        <v>44490</v>
      </c>
      <c r="P18" s="4" t="s">
        <v>20</v>
      </c>
    </row>
    <row r="19" spans="1:16" x14ac:dyDescent="0.25">
      <c r="A19" s="4" t="s">
        <v>17</v>
      </c>
      <c r="B19" s="5">
        <v>44419</v>
      </c>
      <c r="C19" s="4" t="str">
        <f>"8V00265479"</f>
        <v>8V00265479</v>
      </c>
      <c r="D19" s="4">
        <v>5628035726</v>
      </c>
      <c r="E19" s="5">
        <v>44431</v>
      </c>
      <c r="F19" s="4">
        <v>1650</v>
      </c>
      <c r="G19" s="4">
        <v>3564</v>
      </c>
      <c r="H19" s="4" t="s">
        <v>37</v>
      </c>
      <c r="I19" s="4">
        <v>488410010</v>
      </c>
      <c r="J19" s="4" t="s">
        <v>38</v>
      </c>
      <c r="K19" s="4" t="s">
        <v>39</v>
      </c>
      <c r="L19" s="4">
        <v>145.07</v>
      </c>
      <c r="M19" s="4">
        <v>118.91</v>
      </c>
      <c r="N19" s="5">
        <v>44453</v>
      </c>
      <c r="O19" s="5">
        <v>44490</v>
      </c>
      <c r="P19" s="4" t="s">
        <v>20</v>
      </c>
    </row>
    <row r="20" spans="1:16" x14ac:dyDescent="0.25">
      <c r="A20" s="4" t="s">
        <v>17</v>
      </c>
      <c r="B20" s="5">
        <v>44419</v>
      </c>
      <c r="C20" s="4" t="str">
        <f>"8V00265578"</f>
        <v>8V00265578</v>
      </c>
      <c r="D20" s="4">
        <v>5628038277</v>
      </c>
      <c r="E20" s="5">
        <v>44431</v>
      </c>
      <c r="F20" s="4">
        <v>1648</v>
      </c>
      <c r="G20" s="4">
        <v>3564</v>
      </c>
      <c r="H20" s="4" t="s">
        <v>37</v>
      </c>
      <c r="I20" s="4">
        <v>488410010</v>
      </c>
      <c r="J20" s="4" t="s">
        <v>38</v>
      </c>
      <c r="K20" s="4" t="s">
        <v>39</v>
      </c>
      <c r="L20" s="4">
        <v>80.290000000000006</v>
      </c>
      <c r="M20" s="4">
        <v>65.81</v>
      </c>
      <c r="N20" s="5">
        <v>44453</v>
      </c>
      <c r="O20" s="5">
        <v>44490</v>
      </c>
      <c r="P20" s="4" t="s">
        <v>20</v>
      </c>
    </row>
    <row r="21" spans="1:16" x14ac:dyDescent="0.25">
      <c r="A21" s="4" t="s">
        <v>17</v>
      </c>
      <c r="B21" s="5">
        <v>44419</v>
      </c>
      <c r="C21" s="4" t="str">
        <f>"8V00265889"</f>
        <v>8V00265889</v>
      </c>
      <c r="D21" s="4">
        <v>5628039089</v>
      </c>
      <c r="E21" s="5">
        <v>44431</v>
      </c>
      <c r="F21" s="4">
        <v>1649</v>
      </c>
      <c r="G21" s="4">
        <v>3564</v>
      </c>
      <c r="H21" s="4" t="s">
        <v>37</v>
      </c>
      <c r="I21" s="4">
        <v>488410010</v>
      </c>
      <c r="J21" s="4" t="s">
        <v>38</v>
      </c>
      <c r="K21" s="4" t="s">
        <v>39</v>
      </c>
      <c r="L21" s="4">
        <v>144.19999999999999</v>
      </c>
      <c r="M21" s="4">
        <v>120</v>
      </c>
      <c r="N21" s="5">
        <v>44453</v>
      </c>
      <c r="O21" s="5">
        <v>44490</v>
      </c>
      <c r="P21" s="4" t="s">
        <v>20</v>
      </c>
    </row>
    <row r="22" spans="1:16" x14ac:dyDescent="0.25">
      <c r="A22" s="4" t="s">
        <v>17</v>
      </c>
      <c r="B22" s="5">
        <v>44419</v>
      </c>
      <c r="C22" s="4" t="str">
        <f>"8V00300084"</f>
        <v>8V00300084</v>
      </c>
      <c r="D22" s="4">
        <v>5639808435</v>
      </c>
      <c r="E22" s="5">
        <v>44441</v>
      </c>
      <c r="F22" s="4">
        <v>1677</v>
      </c>
      <c r="G22" s="4">
        <v>3564</v>
      </c>
      <c r="H22" s="4" t="s">
        <v>37</v>
      </c>
      <c r="I22" s="4">
        <v>488410010</v>
      </c>
      <c r="J22" s="4" t="s">
        <v>38</v>
      </c>
      <c r="K22" s="4" t="s">
        <v>39</v>
      </c>
      <c r="L22" s="4">
        <v>135.71</v>
      </c>
      <c r="M22" s="4">
        <v>113.04</v>
      </c>
      <c r="N22" s="5">
        <v>44456</v>
      </c>
      <c r="O22" s="5">
        <v>44490</v>
      </c>
      <c r="P22" s="4" t="s">
        <v>40</v>
      </c>
    </row>
    <row r="23" spans="1:16" x14ac:dyDescent="0.25">
      <c r="A23" s="4" t="s">
        <v>17</v>
      </c>
      <c r="B23" s="5">
        <v>44419</v>
      </c>
      <c r="C23" s="4" t="str">
        <f>"8/PA"</f>
        <v>8/PA</v>
      </c>
      <c r="D23" s="4">
        <v>5607246123</v>
      </c>
      <c r="E23" s="5">
        <v>44435</v>
      </c>
      <c r="F23" s="4">
        <v>1656</v>
      </c>
      <c r="G23" s="4">
        <v>4539</v>
      </c>
      <c r="H23" s="4" t="s">
        <v>41</v>
      </c>
      <c r="I23" s="4" t="s">
        <v>42</v>
      </c>
      <c r="J23" s="4" t="s">
        <v>43</v>
      </c>
      <c r="K23" s="4" t="s">
        <v>44</v>
      </c>
      <c r="L23" s="6">
        <v>3442.35</v>
      </c>
      <c r="M23" s="6">
        <v>2821.6</v>
      </c>
      <c r="N23" s="5">
        <v>44449</v>
      </c>
      <c r="O23" s="5">
        <v>44522</v>
      </c>
      <c r="P23" s="4" t="s">
        <v>24</v>
      </c>
    </row>
    <row r="24" spans="1:16" x14ac:dyDescent="0.25">
      <c r="A24" s="4" t="s">
        <v>17</v>
      </c>
      <c r="B24" s="5">
        <v>44414</v>
      </c>
      <c r="C24" s="4" t="str">
        <f>"4/PNL/FPA"</f>
        <v>4/PNL/FPA</v>
      </c>
      <c r="D24" s="4">
        <v>5578194221</v>
      </c>
      <c r="E24" s="5">
        <v>44431</v>
      </c>
      <c r="F24" s="4">
        <v>1632</v>
      </c>
      <c r="G24" s="4">
        <v>466</v>
      </c>
      <c r="H24" s="4" t="s">
        <v>27</v>
      </c>
      <c r="I24" s="4">
        <v>3620860829</v>
      </c>
      <c r="J24" s="4" t="s">
        <v>28</v>
      </c>
      <c r="K24" s="4" t="s">
        <v>45</v>
      </c>
      <c r="L24" s="6">
        <v>1174.94</v>
      </c>
      <c r="M24" s="4">
        <v>965.95</v>
      </c>
      <c r="N24" s="5">
        <v>44444</v>
      </c>
      <c r="O24" s="5">
        <v>44536</v>
      </c>
      <c r="P24" s="4" t="s">
        <v>24</v>
      </c>
    </row>
    <row r="25" spans="1:16" x14ac:dyDescent="0.25">
      <c r="A25" s="4" t="s">
        <v>17</v>
      </c>
      <c r="B25" s="5">
        <v>44414</v>
      </c>
      <c r="C25" s="4" t="str">
        <f>"5/PNL/FPA"</f>
        <v>5/PNL/FPA</v>
      </c>
      <c r="D25" s="4">
        <v>5578194262</v>
      </c>
      <c r="E25" s="5">
        <v>44431</v>
      </c>
      <c r="F25" s="4">
        <v>1636</v>
      </c>
      <c r="G25" s="4">
        <v>466</v>
      </c>
      <c r="H25" s="4" t="s">
        <v>27</v>
      </c>
      <c r="I25" s="4">
        <v>3620860829</v>
      </c>
      <c r="J25" s="4" t="s">
        <v>28</v>
      </c>
      <c r="K25" s="4" t="s">
        <v>46</v>
      </c>
      <c r="L25" s="4">
        <v>259.94</v>
      </c>
      <c r="M25" s="4">
        <v>215.95</v>
      </c>
      <c r="N25" s="5">
        <v>44445</v>
      </c>
      <c r="O25" s="5">
        <v>44536</v>
      </c>
      <c r="P25" s="4" t="s">
        <v>24</v>
      </c>
    </row>
    <row r="26" spans="1:16" x14ac:dyDescent="0.25">
      <c r="A26" s="4" t="s">
        <v>17</v>
      </c>
      <c r="B26" s="5">
        <v>44414</v>
      </c>
      <c r="C26" s="4" t="str">
        <f>"23/PV3"</f>
        <v>23/PV3</v>
      </c>
      <c r="D26" s="4">
        <v>5668304124</v>
      </c>
      <c r="E26" s="5">
        <v>44452</v>
      </c>
      <c r="F26" s="4">
        <v>1745</v>
      </c>
      <c r="G26" s="4">
        <v>5068</v>
      </c>
      <c r="H26" s="4" t="s">
        <v>47</v>
      </c>
      <c r="I26" s="4">
        <v>1744360817</v>
      </c>
      <c r="J26" s="4" t="s">
        <v>48</v>
      </c>
      <c r="K26" s="4" t="s">
        <v>49</v>
      </c>
      <c r="L26" s="6">
        <v>3282</v>
      </c>
      <c r="M26" s="6">
        <v>3282</v>
      </c>
      <c r="N26" s="5">
        <v>44464</v>
      </c>
      <c r="O26" s="5">
        <v>44474</v>
      </c>
      <c r="P26" s="4" t="s">
        <v>24</v>
      </c>
    </row>
    <row r="27" spans="1:16" x14ac:dyDescent="0.25">
      <c r="A27" s="4" t="s">
        <v>17</v>
      </c>
      <c r="B27" s="5">
        <v>44414</v>
      </c>
      <c r="C27" s="4" t="str">
        <f>"FPA 6/21"</f>
        <v>FPA 6/21</v>
      </c>
      <c r="D27" s="4">
        <v>5577206571</v>
      </c>
      <c r="E27" s="5">
        <v>44419</v>
      </c>
      <c r="F27" s="4">
        <v>1566</v>
      </c>
      <c r="G27" s="4">
        <v>7550</v>
      </c>
      <c r="H27" s="4" t="s">
        <v>50</v>
      </c>
      <c r="I27" s="4">
        <v>2761210810</v>
      </c>
      <c r="J27" s="4" t="s">
        <v>51</v>
      </c>
      <c r="K27" s="4" t="s">
        <v>52</v>
      </c>
      <c r="L27" s="4">
        <v>63.05</v>
      </c>
      <c r="M27" s="4">
        <v>51.68</v>
      </c>
      <c r="N27" s="5">
        <v>44445</v>
      </c>
      <c r="O27" s="5">
        <v>44474</v>
      </c>
      <c r="P27" s="4" t="s">
        <v>20</v>
      </c>
    </row>
    <row r="28" spans="1:16" x14ac:dyDescent="0.25">
      <c r="A28" s="4" t="s">
        <v>17</v>
      </c>
      <c r="B28" s="5">
        <v>44414</v>
      </c>
      <c r="C28" s="4" t="str">
        <f>"11"</f>
        <v>11</v>
      </c>
      <c r="D28" s="4">
        <v>5576856578</v>
      </c>
      <c r="E28" s="5">
        <v>44424</v>
      </c>
      <c r="F28" s="4">
        <v>1586</v>
      </c>
      <c r="G28" s="4">
        <v>7676</v>
      </c>
      <c r="H28" s="4" t="s">
        <v>53</v>
      </c>
      <c r="I28" s="4">
        <v>2212410845</v>
      </c>
      <c r="J28" s="4" t="s">
        <v>54</v>
      </c>
      <c r="K28" s="4" t="s">
        <v>55</v>
      </c>
      <c r="L28" s="6">
        <v>50808.11</v>
      </c>
      <c r="M28" s="6">
        <v>3172.74</v>
      </c>
      <c r="N28" s="5">
        <v>44445</v>
      </c>
      <c r="O28" s="5">
        <v>44602</v>
      </c>
      <c r="P28" s="4" t="s">
        <v>24</v>
      </c>
    </row>
    <row r="29" spans="1:16" x14ac:dyDescent="0.25">
      <c r="A29" s="4" t="s">
        <v>17</v>
      </c>
      <c r="B29" s="5">
        <v>44412</v>
      </c>
      <c r="C29" s="4" t="str">
        <f>"11/PA"</f>
        <v>11/PA</v>
      </c>
      <c r="D29" s="4">
        <v>5560800850</v>
      </c>
      <c r="E29" s="5">
        <v>44417</v>
      </c>
      <c r="F29" s="4">
        <v>1558</v>
      </c>
      <c r="G29" s="4">
        <v>5058</v>
      </c>
      <c r="H29" s="4" t="s">
        <v>56</v>
      </c>
      <c r="I29" s="4" t="s">
        <v>57</v>
      </c>
      <c r="J29" s="4" t="s">
        <v>58</v>
      </c>
      <c r="K29" s="4"/>
      <c r="L29" s="6">
        <v>1268.8</v>
      </c>
      <c r="M29" s="6">
        <v>1068.8</v>
      </c>
      <c r="N29" s="5">
        <v>44443</v>
      </c>
      <c r="O29" s="5">
        <v>44476</v>
      </c>
      <c r="P29" s="4" t="s">
        <v>59</v>
      </c>
    </row>
    <row r="30" spans="1:16" x14ac:dyDescent="0.25">
      <c r="A30" s="4" t="s">
        <v>17</v>
      </c>
      <c r="B30" s="5">
        <v>44411</v>
      </c>
      <c r="C30" s="4" t="str">
        <f>"241"</f>
        <v>241</v>
      </c>
      <c r="D30" s="4">
        <v>5624361707</v>
      </c>
      <c r="E30" s="5">
        <v>44438</v>
      </c>
      <c r="F30" s="4">
        <v>1663</v>
      </c>
      <c r="G30" s="4">
        <v>4252</v>
      </c>
      <c r="H30" s="4" t="s">
        <v>60</v>
      </c>
      <c r="I30" s="4">
        <v>1444060816</v>
      </c>
      <c r="J30" s="4" t="s">
        <v>61</v>
      </c>
      <c r="K30" s="4"/>
      <c r="L30" s="6">
        <v>2640</v>
      </c>
      <c r="M30" s="6">
        <v>2640</v>
      </c>
      <c r="N30" s="5">
        <v>44451</v>
      </c>
      <c r="O30" s="5">
        <v>44474</v>
      </c>
      <c r="P30" s="4" t="s">
        <v>24</v>
      </c>
    </row>
    <row r="31" spans="1:16" x14ac:dyDescent="0.25">
      <c r="A31" s="4" t="s">
        <v>17</v>
      </c>
      <c r="B31" s="5">
        <v>44411</v>
      </c>
      <c r="C31" s="4" t="str">
        <f>"242"</f>
        <v>242</v>
      </c>
      <c r="D31" s="4">
        <v>5624361683</v>
      </c>
      <c r="E31" s="5">
        <v>44438</v>
      </c>
      <c r="F31" s="4">
        <v>1664</v>
      </c>
      <c r="G31" s="4">
        <v>4252</v>
      </c>
      <c r="H31" s="4" t="s">
        <v>60</v>
      </c>
      <c r="I31" s="4">
        <v>1444060816</v>
      </c>
      <c r="J31" s="4" t="s">
        <v>61</v>
      </c>
      <c r="K31" s="4"/>
      <c r="L31" s="6">
        <v>3280</v>
      </c>
      <c r="M31" s="6">
        <v>3280</v>
      </c>
      <c r="N31" s="5">
        <v>44451</v>
      </c>
      <c r="O31" s="5">
        <v>44474</v>
      </c>
      <c r="P31" s="4" t="s">
        <v>24</v>
      </c>
    </row>
    <row r="32" spans="1:16" x14ac:dyDescent="0.25">
      <c r="A32" s="4" t="s">
        <v>17</v>
      </c>
      <c r="B32" s="5">
        <v>44411</v>
      </c>
      <c r="C32" s="4" t="str">
        <f>"74/E"</f>
        <v>74/E</v>
      </c>
      <c r="D32" s="4">
        <v>5565292253</v>
      </c>
      <c r="E32" s="5">
        <v>44419</v>
      </c>
      <c r="F32" s="4">
        <v>1564</v>
      </c>
      <c r="G32" s="4">
        <v>4568</v>
      </c>
      <c r="H32" s="4" t="s">
        <v>62</v>
      </c>
      <c r="I32" s="4">
        <v>4641620820</v>
      </c>
      <c r="J32" s="4" t="s">
        <v>63</v>
      </c>
      <c r="K32" s="4"/>
      <c r="L32" s="6">
        <v>1892.9</v>
      </c>
      <c r="M32" s="6">
        <v>1802.76</v>
      </c>
      <c r="N32" s="5">
        <v>44444</v>
      </c>
      <c r="O32" s="5">
        <v>44474</v>
      </c>
      <c r="P32" s="4" t="s">
        <v>20</v>
      </c>
    </row>
    <row r="33" spans="1:16" x14ac:dyDescent="0.25">
      <c r="A33" s="4" t="s">
        <v>17</v>
      </c>
      <c r="B33" s="5">
        <v>44407</v>
      </c>
      <c r="C33" s="4" t="str">
        <f>"221"</f>
        <v>221</v>
      </c>
      <c r="D33" s="4">
        <v>5600093472</v>
      </c>
      <c r="E33" s="5">
        <v>44434</v>
      </c>
      <c r="F33" s="4">
        <v>1654</v>
      </c>
      <c r="G33" s="4">
        <v>528</v>
      </c>
      <c r="H33" s="4" t="s">
        <v>64</v>
      </c>
      <c r="I33" s="4" t="s">
        <v>65</v>
      </c>
      <c r="J33" s="4" t="s">
        <v>66</v>
      </c>
      <c r="K33" s="4"/>
      <c r="L33" s="4">
        <v>691.23</v>
      </c>
      <c r="M33" s="4">
        <v>691.23</v>
      </c>
      <c r="N33" s="5">
        <v>44448</v>
      </c>
      <c r="O33" s="4"/>
      <c r="P33" s="4" t="s">
        <v>24</v>
      </c>
    </row>
    <row r="34" spans="1:16" x14ac:dyDescent="0.25">
      <c r="A34" s="4" t="s">
        <v>17</v>
      </c>
      <c r="B34" s="5">
        <v>44407</v>
      </c>
      <c r="C34" s="4" t="str">
        <f>"222"</f>
        <v>222</v>
      </c>
      <c r="D34" s="4">
        <v>5600093473</v>
      </c>
      <c r="E34" s="5">
        <v>44434</v>
      </c>
      <c r="F34" s="4">
        <v>1655</v>
      </c>
      <c r="G34" s="4">
        <v>528</v>
      </c>
      <c r="H34" s="4" t="s">
        <v>64</v>
      </c>
      <c r="I34" s="4" t="s">
        <v>65</v>
      </c>
      <c r="J34" s="4" t="s">
        <v>66</v>
      </c>
      <c r="K34" s="4"/>
      <c r="L34" s="6">
        <v>1532.15</v>
      </c>
      <c r="M34" s="6">
        <v>1532.15</v>
      </c>
      <c r="N34" s="5">
        <v>44448</v>
      </c>
      <c r="O34" s="4"/>
      <c r="P34" s="4" t="s">
        <v>24</v>
      </c>
    </row>
    <row r="35" spans="1:16" x14ac:dyDescent="0.25">
      <c r="A35" s="4" t="s">
        <v>17</v>
      </c>
      <c r="B35" s="5">
        <v>44407</v>
      </c>
      <c r="C35" s="4" t="str">
        <f>"223"</f>
        <v>223</v>
      </c>
      <c r="D35" s="4">
        <v>5600093459</v>
      </c>
      <c r="E35" s="5">
        <v>44434</v>
      </c>
      <c r="F35" s="4">
        <v>1653</v>
      </c>
      <c r="G35" s="4">
        <v>528</v>
      </c>
      <c r="H35" s="4" t="s">
        <v>64</v>
      </c>
      <c r="I35" s="4" t="s">
        <v>65</v>
      </c>
      <c r="J35" s="4" t="s">
        <v>66</v>
      </c>
      <c r="K35" s="4"/>
      <c r="L35" s="6">
        <v>3159.69</v>
      </c>
      <c r="M35" s="6">
        <v>3159.69</v>
      </c>
      <c r="N35" s="5">
        <v>44448</v>
      </c>
      <c r="O35" s="4"/>
      <c r="P35" s="4" t="s">
        <v>24</v>
      </c>
    </row>
    <row r="36" spans="1:16" x14ac:dyDescent="0.25">
      <c r="A36" s="4" t="s">
        <v>17</v>
      </c>
      <c r="B36" s="5">
        <v>44400</v>
      </c>
      <c r="C36" s="4" t="str">
        <f>"00020211265"</f>
        <v>00020211265</v>
      </c>
      <c r="D36" s="4">
        <v>5489318290</v>
      </c>
      <c r="E36" s="5">
        <v>44404</v>
      </c>
      <c r="F36" s="4">
        <v>1371</v>
      </c>
      <c r="G36" s="4">
        <v>4728</v>
      </c>
      <c r="H36" s="4" t="s">
        <v>67</v>
      </c>
      <c r="I36" s="4">
        <v>2154040808</v>
      </c>
      <c r="J36" s="4" t="s">
        <v>68</v>
      </c>
      <c r="K36" s="4" t="s">
        <v>69</v>
      </c>
      <c r="L36" s="6">
        <v>2955.45</v>
      </c>
      <c r="M36" s="6">
        <v>2422.5</v>
      </c>
      <c r="N36" s="5">
        <v>44430</v>
      </c>
      <c r="O36" s="5">
        <v>44516</v>
      </c>
      <c r="P36" s="4" t="s">
        <v>20</v>
      </c>
    </row>
    <row r="37" spans="1:16" x14ac:dyDescent="0.25">
      <c r="A37" s="4" t="s">
        <v>70</v>
      </c>
      <c r="B37" s="5">
        <v>44400</v>
      </c>
      <c r="C37" s="4" t="str">
        <f>"10/2021NC"</f>
        <v>10/2021NC</v>
      </c>
      <c r="D37" s="4">
        <v>5489269435</v>
      </c>
      <c r="E37" s="5">
        <v>44404</v>
      </c>
      <c r="F37" s="4">
        <v>1405</v>
      </c>
      <c r="G37" s="4">
        <v>4894</v>
      </c>
      <c r="H37" s="4" t="s">
        <v>71</v>
      </c>
      <c r="I37" s="4">
        <v>2573370810</v>
      </c>
      <c r="J37" s="4" t="s">
        <v>72</v>
      </c>
      <c r="K37" s="4"/>
      <c r="L37" s="6">
        <v>-3873.76</v>
      </c>
      <c r="M37" s="6">
        <v>-3873.76</v>
      </c>
      <c r="N37" s="5">
        <v>44430</v>
      </c>
      <c r="O37" s="5">
        <v>44551</v>
      </c>
      <c r="P37" s="4" t="s">
        <v>20</v>
      </c>
    </row>
    <row r="38" spans="1:16" x14ac:dyDescent="0.25">
      <c r="A38" s="4" t="s">
        <v>17</v>
      </c>
      <c r="B38" s="5">
        <v>44399</v>
      </c>
      <c r="C38" s="4" t="str">
        <f>"FATTPA 7_21"</f>
        <v>FATTPA 7_21</v>
      </c>
      <c r="D38" s="4">
        <v>5483039155</v>
      </c>
      <c r="E38" s="5">
        <v>44404</v>
      </c>
      <c r="F38" s="4">
        <v>1414</v>
      </c>
      <c r="G38" s="4">
        <v>7675</v>
      </c>
      <c r="H38" s="4" t="s">
        <v>73</v>
      </c>
      <c r="I38" s="4">
        <v>1848720858</v>
      </c>
      <c r="J38" s="4" t="s">
        <v>74</v>
      </c>
      <c r="K38" s="4"/>
      <c r="L38" s="6">
        <v>37388.47</v>
      </c>
      <c r="M38" s="6">
        <v>4737.1099999999997</v>
      </c>
      <c r="N38" s="5">
        <v>44429</v>
      </c>
      <c r="O38" s="5">
        <v>44644</v>
      </c>
      <c r="P38" s="4" t="s">
        <v>24</v>
      </c>
    </row>
    <row r="39" spans="1:16" x14ac:dyDescent="0.25">
      <c r="A39" s="4" t="s">
        <v>17</v>
      </c>
      <c r="B39" s="5">
        <v>44399</v>
      </c>
      <c r="C39" s="4" t="str">
        <f>"FATTPA 7_21"</f>
        <v>FATTPA 7_21</v>
      </c>
      <c r="D39" s="4">
        <v>5483039155</v>
      </c>
      <c r="E39" s="5">
        <v>44404</v>
      </c>
      <c r="F39" s="4">
        <v>1414</v>
      </c>
      <c r="G39" s="4">
        <v>7675</v>
      </c>
      <c r="H39" s="4" t="s">
        <v>73</v>
      </c>
      <c r="I39" s="4">
        <v>1848720858</v>
      </c>
      <c r="J39" s="4" t="s">
        <v>74</v>
      </c>
      <c r="K39" s="4"/>
      <c r="L39" s="6">
        <v>37388.47</v>
      </c>
      <c r="M39" s="6">
        <v>4470.68</v>
      </c>
      <c r="N39" s="5">
        <v>44429</v>
      </c>
      <c r="O39" s="5">
        <v>44476</v>
      </c>
      <c r="P39" s="4" t="s">
        <v>24</v>
      </c>
    </row>
    <row r="40" spans="1:16" x14ac:dyDescent="0.25">
      <c r="A40" s="4" t="s">
        <v>17</v>
      </c>
      <c r="B40" s="5">
        <v>44398</v>
      </c>
      <c r="C40" s="4" t="str">
        <f>"FPA 25/21"</f>
        <v>FPA 25/21</v>
      </c>
      <c r="D40" s="4">
        <v>5468079789</v>
      </c>
      <c r="E40" s="5">
        <v>44414</v>
      </c>
      <c r="F40" s="4">
        <v>1526</v>
      </c>
      <c r="G40" s="4">
        <v>7493</v>
      </c>
      <c r="H40" s="4" t="s">
        <v>75</v>
      </c>
      <c r="I40" s="4">
        <v>2753100813</v>
      </c>
      <c r="J40" s="4" t="s">
        <v>76</v>
      </c>
      <c r="K40" s="4"/>
      <c r="L40" s="6">
        <v>7040</v>
      </c>
      <c r="M40" s="6">
        <v>6400</v>
      </c>
      <c r="N40" s="5">
        <v>44428</v>
      </c>
      <c r="O40" s="5">
        <v>44665</v>
      </c>
      <c r="P40" s="4" t="s">
        <v>24</v>
      </c>
    </row>
    <row r="41" spans="1:16" x14ac:dyDescent="0.25">
      <c r="A41" s="4" t="s">
        <v>70</v>
      </c>
      <c r="B41" s="5">
        <v>44389</v>
      </c>
      <c r="C41" s="4" t="str">
        <f>"10"</f>
        <v>10</v>
      </c>
      <c r="D41" s="4">
        <v>5488474238</v>
      </c>
      <c r="E41" s="5">
        <v>44417</v>
      </c>
      <c r="F41" s="4">
        <v>1537</v>
      </c>
      <c r="G41" s="4">
        <v>528</v>
      </c>
      <c r="H41" s="4" t="s">
        <v>64</v>
      </c>
      <c r="I41" s="4" t="s">
        <v>65</v>
      </c>
      <c r="J41" s="4" t="s">
        <v>66</v>
      </c>
      <c r="K41" s="4"/>
      <c r="L41" s="4">
        <v>-15.26</v>
      </c>
      <c r="M41" s="4">
        <v>-15.26</v>
      </c>
      <c r="N41" s="5">
        <v>44430</v>
      </c>
      <c r="O41" s="4"/>
      <c r="P41" s="4" t="s">
        <v>24</v>
      </c>
    </row>
    <row r="42" spans="1:16" x14ac:dyDescent="0.25">
      <c r="A42" s="4" t="s">
        <v>70</v>
      </c>
      <c r="B42" s="5">
        <v>44389</v>
      </c>
      <c r="C42" s="4" t="str">
        <f>"11"</f>
        <v>11</v>
      </c>
      <c r="D42" s="4">
        <v>5488521969</v>
      </c>
      <c r="E42" s="5">
        <v>44417</v>
      </c>
      <c r="F42" s="4">
        <v>1551</v>
      </c>
      <c r="G42" s="4">
        <v>528</v>
      </c>
      <c r="H42" s="4" t="s">
        <v>64</v>
      </c>
      <c r="I42" s="4" t="s">
        <v>65</v>
      </c>
      <c r="J42" s="4" t="s">
        <v>66</v>
      </c>
      <c r="K42" s="4"/>
      <c r="L42" s="4">
        <v>-468.77</v>
      </c>
      <c r="M42" s="4">
        <v>-468.77</v>
      </c>
      <c r="N42" s="5">
        <v>44430</v>
      </c>
      <c r="O42" s="4"/>
      <c r="P42" s="4" t="s">
        <v>24</v>
      </c>
    </row>
    <row r="43" spans="1:16" x14ac:dyDescent="0.25">
      <c r="A43" s="4" t="s">
        <v>70</v>
      </c>
      <c r="B43" s="5">
        <v>44389</v>
      </c>
      <c r="C43" s="4" t="str">
        <f>"12"</f>
        <v>12</v>
      </c>
      <c r="D43" s="4">
        <v>5488521964</v>
      </c>
      <c r="E43" s="5">
        <v>44417</v>
      </c>
      <c r="F43" s="4">
        <v>1550</v>
      </c>
      <c r="G43" s="4">
        <v>528</v>
      </c>
      <c r="H43" s="4" t="s">
        <v>64</v>
      </c>
      <c r="I43" s="4" t="s">
        <v>65</v>
      </c>
      <c r="J43" s="4" t="s">
        <v>66</v>
      </c>
      <c r="K43" s="4"/>
      <c r="L43" s="4">
        <v>-806.09</v>
      </c>
      <c r="M43" s="4">
        <v>-806.09</v>
      </c>
      <c r="N43" s="5">
        <v>44430</v>
      </c>
      <c r="O43" s="4"/>
      <c r="P43" s="4" t="s">
        <v>24</v>
      </c>
    </row>
    <row r="44" spans="1:16" x14ac:dyDescent="0.25">
      <c r="A44" s="4" t="s">
        <v>70</v>
      </c>
      <c r="B44" s="5">
        <v>44389</v>
      </c>
      <c r="C44" s="4" t="str">
        <f>"13"</f>
        <v>13</v>
      </c>
      <c r="D44" s="4">
        <v>5488521962</v>
      </c>
      <c r="E44" s="5">
        <v>44417</v>
      </c>
      <c r="F44" s="4">
        <v>1549</v>
      </c>
      <c r="G44" s="4">
        <v>528</v>
      </c>
      <c r="H44" s="4" t="s">
        <v>64</v>
      </c>
      <c r="I44" s="4" t="s">
        <v>65</v>
      </c>
      <c r="J44" s="4" t="s">
        <v>66</v>
      </c>
      <c r="K44" s="4"/>
      <c r="L44" s="4">
        <v>-613.86</v>
      </c>
      <c r="M44" s="4">
        <v>-613.86</v>
      </c>
      <c r="N44" s="5">
        <v>44430</v>
      </c>
      <c r="O44" s="4"/>
      <c r="P44" s="4" t="s">
        <v>24</v>
      </c>
    </row>
    <row r="45" spans="1:16" x14ac:dyDescent="0.25">
      <c r="A45" s="4" t="s">
        <v>70</v>
      </c>
      <c r="B45" s="5">
        <v>44389</v>
      </c>
      <c r="C45" s="4" t="str">
        <f>"14"</f>
        <v>14</v>
      </c>
      <c r="D45" s="4">
        <v>5488521963</v>
      </c>
      <c r="E45" s="5">
        <v>44417</v>
      </c>
      <c r="F45" s="4">
        <v>1548</v>
      </c>
      <c r="G45" s="4">
        <v>528</v>
      </c>
      <c r="H45" s="4" t="s">
        <v>64</v>
      </c>
      <c r="I45" s="4" t="s">
        <v>65</v>
      </c>
      <c r="J45" s="4" t="s">
        <v>66</v>
      </c>
      <c r="K45" s="4"/>
      <c r="L45" s="4">
        <v>-368</v>
      </c>
      <c r="M45" s="4">
        <v>-368</v>
      </c>
      <c r="N45" s="5">
        <v>44430</v>
      </c>
      <c r="O45" s="4"/>
      <c r="P45" s="4" t="s">
        <v>24</v>
      </c>
    </row>
    <row r="46" spans="1:16" x14ac:dyDescent="0.25">
      <c r="A46" s="4" t="s">
        <v>70</v>
      </c>
      <c r="B46" s="5">
        <v>44389</v>
      </c>
      <c r="C46" s="4" t="str">
        <f>"15"</f>
        <v>15</v>
      </c>
      <c r="D46" s="4">
        <v>5488521960</v>
      </c>
      <c r="E46" s="5">
        <v>44417</v>
      </c>
      <c r="F46" s="4">
        <v>1547</v>
      </c>
      <c r="G46" s="4">
        <v>528</v>
      </c>
      <c r="H46" s="4" t="s">
        <v>64</v>
      </c>
      <c r="I46" s="4" t="s">
        <v>65</v>
      </c>
      <c r="J46" s="4" t="s">
        <v>66</v>
      </c>
      <c r="K46" s="4"/>
      <c r="L46" s="4">
        <v>-259.81</v>
      </c>
      <c r="M46" s="4">
        <v>-259.81</v>
      </c>
      <c r="N46" s="5">
        <v>44430</v>
      </c>
      <c r="O46" s="4"/>
      <c r="P46" s="4" t="s">
        <v>24</v>
      </c>
    </row>
    <row r="47" spans="1:16" x14ac:dyDescent="0.25">
      <c r="A47" s="4" t="s">
        <v>70</v>
      </c>
      <c r="B47" s="5">
        <v>44389</v>
      </c>
      <c r="C47" s="4" t="str">
        <f>"16"</f>
        <v>16</v>
      </c>
      <c r="D47" s="4">
        <v>5488521955</v>
      </c>
      <c r="E47" s="5">
        <v>44417</v>
      </c>
      <c r="F47" s="4">
        <v>1546</v>
      </c>
      <c r="G47" s="4">
        <v>528</v>
      </c>
      <c r="H47" s="4" t="s">
        <v>64</v>
      </c>
      <c r="I47" s="4" t="s">
        <v>65</v>
      </c>
      <c r="J47" s="4" t="s">
        <v>66</v>
      </c>
      <c r="K47" s="4"/>
      <c r="L47" s="4">
        <v>-64.81</v>
      </c>
      <c r="M47" s="4">
        <v>-64.81</v>
      </c>
      <c r="N47" s="5">
        <v>44430</v>
      </c>
      <c r="O47" s="4"/>
      <c r="P47" s="4" t="s">
        <v>24</v>
      </c>
    </row>
    <row r="48" spans="1:16" x14ac:dyDescent="0.25">
      <c r="A48" s="4" t="s">
        <v>70</v>
      </c>
      <c r="B48" s="5">
        <v>44389</v>
      </c>
      <c r="C48" s="4" t="str">
        <f>"17"</f>
        <v>17</v>
      </c>
      <c r="D48" s="4">
        <v>5488521953</v>
      </c>
      <c r="E48" s="5">
        <v>44417</v>
      </c>
      <c r="F48" s="4">
        <v>1545</v>
      </c>
      <c r="G48" s="4">
        <v>528</v>
      </c>
      <c r="H48" s="4" t="s">
        <v>64</v>
      </c>
      <c r="I48" s="4" t="s">
        <v>65</v>
      </c>
      <c r="J48" s="4" t="s">
        <v>66</v>
      </c>
      <c r="K48" s="4"/>
      <c r="L48" s="4">
        <v>-13.62</v>
      </c>
      <c r="M48" s="4">
        <v>-13.62</v>
      </c>
      <c r="N48" s="5">
        <v>44430</v>
      </c>
      <c r="O48" s="4"/>
      <c r="P48" s="4" t="s">
        <v>24</v>
      </c>
    </row>
    <row r="49" spans="1:16" x14ac:dyDescent="0.25">
      <c r="A49" s="4" t="s">
        <v>70</v>
      </c>
      <c r="B49" s="5">
        <v>44389</v>
      </c>
      <c r="C49" s="4" t="str">
        <f>"18"</f>
        <v>18</v>
      </c>
      <c r="D49" s="4">
        <v>5488521952</v>
      </c>
      <c r="E49" s="5">
        <v>44417</v>
      </c>
      <c r="F49" s="4">
        <v>1544</v>
      </c>
      <c r="G49" s="4">
        <v>528</v>
      </c>
      <c r="H49" s="4" t="s">
        <v>64</v>
      </c>
      <c r="I49" s="4" t="s">
        <v>65</v>
      </c>
      <c r="J49" s="4" t="s">
        <v>66</v>
      </c>
      <c r="K49" s="4"/>
      <c r="L49" s="4">
        <v>-32.85</v>
      </c>
      <c r="M49" s="4">
        <v>-32.85</v>
      </c>
      <c r="N49" s="5">
        <v>44430</v>
      </c>
      <c r="O49" s="4"/>
      <c r="P49" s="4" t="s">
        <v>24</v>
      </c>
    </row>
    <row r="50" spans="1:16" x14ac:dyDescent="0.25">
      <c r="A50" s="4" t="s">
        <v>17</v>
      </c>
      <c r="B50" s="5">
        <v>44389</v>
      </c>
      <c r="C50" s="4" t="str">
        <f>"198"</f>
        <v>198</v>
      </c>
      <c r="D50" s="4">
        <v>5488521924</v>
      </c>
      <c r="E50" s="5">
        <v>44417</v>
      </c>
      <c r="F50" s="4">
        <v>1543</v>
      </c>
      <c r="G50" s="4">
        <v>528</v>
      </c>
      <c r="H50" s="4" t="s">
        <v>64</v>
      </c>
      <c r="I50" s="4" t="s">
        <v>65</v>
      </c>
      <c r="J50" s="4" t="s">
        <v>66</v>
      </c>
      <c r="K50" s="4"/>
      <c r="L50" s="4">
        <v>253.5</v>
      </c>
      <c r="M50" s="4">
        <v>207.79</v>
      </c>
      <c r="N50" s="5">
        <v>44430</v>
      </c>
      <c r="O50" s="4"/>
      <c r="P50" s="4" t="s">
        <v>24</v>
      </c>
    </row>
    <row r="51" spans="1:16" x14ac:dyDescent="0.25">
      <c r="A51" s="4" t="s">
        <v>17</v>
      </c>
      <c r="B51" s="5">
        <v>44389</v>
      </c>
      <c r="C51" s="4" t="str">
        <f>"199"</f>
        <v>199</v>
      </c>
      <c r="D51" s="4">
        <v>5488838884</v>
      </c>
      <c r="E51" s="5">
        <v>44417</v>
      </c>
      <c r="F51" s="4">
        <v>1552</v>
      </c>
      <c r="G51" s="4">
        <v>528</v>
      </c>
      <c r="H51" s="4" t="s">
        <v>64</v>
      </c>
      <c r="I51" s="4" t="s">
        <v>65</v>
      </c>
      <c r="J51" s="4" t="s">
        <v>66</v>
      </c>
      <c r="K51" s="4"/>
      <c r="L51" s="4">
        <v>398.34</v>
      </c>
      <c r="M51" s="4">
        <v>398.34</v>
      </c>
      <c r="N51" s="5">
        <v>44430</v>
      </c>
      <c r="O51" s="4"/>
      <c r="P51" s="4" t="s">
        <v>24</v>
      </c>
    </row>
    <row r="52" spans="1:16" x14ac:dyDescent="0.25">
      <c r="A52" s="4" t="s">
        <v>17</v>
      </c>
      <c r="B52" s="5">
        <v>44389</v>
      </c>
      <c r="C52" s="4" t="str">
        <f>"200"</f>
        <v>200</v>
      </c>
      <c r="D52" s="4">
        <v>5489390182</v>
      </c>
      <c r="E52" s="5">
        <v>44417</v>
      </c>
      <c r="F52" s="4">
        <v>1538</v>
      </c>
      <c r="G52" s="4">
        <v>528</v>
      </c>
      <c r="H52" s="4" t="s">
        <v>64</v>
      </c>
      <c r="I52" s="4" t="s">
        <v>65</v>
      </c>
      <c r="J52" s="4" t="s">
        <v>66</v>
      </c>
      <c r="K52" s="4"/>
      <c r="L52" s="4">
        <v>12.51</v>
      </c>
      <c r="M52" s="4">
        <v>12.51</v>
      </c>
      <c r="N52" s="5">
        <v>44430</v>
      </c>
      <c r="O52" s="4"/>
      <c r="P52" s="4" t="s">
        <v>24</v>
      </c>
    </row>
    <row r="53" spans="1:16" x14ac:dyDescent="0.25">
      <c r="A53" s="4" t="s">
        <v>17</v>
      </c>
      <c r="B53" s="5">
        <v>44389</v>
      </c>
      <c r="C53" s="4" t="str">
        <f>"201"</f>
        <v>201</v>
      </c>
      <c r="D53" s="4">
        <v>5489412701</v>
      </c>
      <c r="E53" s="5">
        <v>44417</v>
      </c>
      <c r="F53" s="4">
        <v>1553</v>
      </c>
      <c r="G53" s="4">
        <v>528</v>
      </c>
      <c r="H53" s="4" t="s">
        <v>64</v>
      </c>
      <c r="I53" s="4" t="s">
        <v>65</v>
      </c>
      <c r="J53" s="4" t="s">
        <v>66</v>
      </c>
      <c r="K53" s="4"/>
      <c r="L53" s="4">
        <v>384.24</v>
      </c>
      <c r="M53" s="4">
        <v>384.24</v>
      </c>
      <c r="N53" s="5">
        <v>44430</v>
      </c>
      <c r="O53" s="4"/>
      <c r="P53" s="4" t="s">
        <v>24</v>
      </c>
    </row>
    <row r="54" spans="1:16" x14ac:dyDescent="0.25">
      <c r="A54" s="4" t="s">
        <v>17</v>
      </c>
      <c r="B54" s="5">
        <v>44389</v>
      </c>
      <c r="C54" s="4" t="str">
        <f>"202"</f>
        <v>202</v>
      </c>
      <c r="D54" s="4">
        <v>5489441014</v>
      </c>
      <c r="E54" s="5">
        <v>44417</v>
      </c>
      <c r="F54" s="4">
        <v>1539</v>
      </c>
      <c r="G54" s="4">
        <v>528</v>
      </c>
      <c r="H54" s="4" t="s">
        <v>64</v>
      </c>
      <c r="I54" s="4" t="s">
        <v>65</v>
      </c>
      <c r="J54" s="4" t="s">
        <v>66</v>
      </c>
      <c r="K54" s="4"/>
      <c r="L54" s="4">
        <v>660.73</v>
      </c>
      <c r="M54" s="4">
        <v>660.73</v>
      </c>
      <c r="N54" s="5">
        <v>44430</v>
      </c>
      <c r="O54" s="4"/>
      <c r="P54" s="4" t="s">
        <v>24</v>
      </c>
    </row>
    <row r="55" spans="1:16" x14ac:dyDescent="0.25">
      <c r="A55" s="4" t="s">
        <v>17</v>
      </c>
      <c r="B55" s="5">
        <v>44389</v>
      </c>
      <c r="C55" s="4" t="str">
        <f>"203"</f>
        <v>203</v>
      </c>
      <c r="D55" s="4">
        <v>5489471065</v>
      </c>
      <c r="E55" s="5">
        <v>44417</v>
      </c>
      <c r="F55" s="4">
        <v>1556</v>
      </c>
      <c r="G55" s="4">
        <v>528</v>
      </c>
      <c r="H55" s="4" t="s">
        <v>64</v>
      </c>
      <c r="I55" s="4" t="s">
        <v>65</v>
      </c>
      <c r="J55" s="4" t="s">
        <v>66</v>
      </c>
      <c r="K55" s="4"/>
      <c r="L55" s="4">
        <v>503.16</v>
      </c>
      <c r="M55" s="4">
        <v>503.16</v>
      </c>
      <c r="N55" s="5">
        <v>44430</v>
      </c>
      <c r="O55" s="4"/>
      <c r="P55" s="4" t="s">
        <v>24</v>
      </c>
    </row>
    <row r="56" spans="1:16" x14ac:dyDescent="0.25">
      <c r="A56" s="4" t="s">
        <v>17</v>
      </c>
      <c r="B56" s="5">
        <v>44389</v>
      </c>
      <c r="C56" s="4" t="str">
        <f>"204"</f>
        <v>204</v>
      </c>
      <c r="D56" s="4">
        <v>5489513760</v>
      </c>
      <c r="E56" s="5">
        <v>44417</v>
      </c>
      <c r="F56" s="4">
        <v>1540</v>
      </c>
      <c r="G56" s="4">
        <v>528</v>
      </c>
      <c r="H56" s="4" t="s">
        <v>64</v>
      </c>
      <c r="I56" s="4" t="s">
        <v>65</v>
      </c>
      <c r="J56" s="4" t="s">
        <v>66</v>
      </c>
      <c r="K56" s="4"/>
      <c r="L56" s="4">
        <v>301.64</v>
      </c>
      <c r="M56" s="4">
        <v>301.64</v>
      </c>
      <c r="N56" s="5">
        <v>44430</v>
      </c>
      <c r="O56" s="4"/>
      <c r="P56" s="4" t="s">
        <v>24</v>
      </c>
    </row>
    <row r="57" spans="1:16" x14ac:dyDescent="0.25">
      <c r="A57" s="4" t="s">
        <v>17</v>
      </c>
      <c r="B57" s="5">
        <v>44389</v>
      </c>
      <c r="C57" s="4" t="str">
        <f>"205"</f>
        <v>205</v>
      </c>
      <c r="D57" s="4">
        <v>5489539418</v>
      </c>
      <c r="E57" s="5">
        <v>44417</v>
      </c>
      <c r="F57" s="4">
        <v>1557</v>
      </c>
      <c r="G57" s="4">
        <v>528</v>
      </c>
      <c r="H57" s="4" t="s">
        <v>64</v>
      </c>
      <c r="I57" s="4" t="s">
        <v>65</v>
      </c>
      <c r="J57" s="4" t="s">
        <v>66</v>
      </c>
      <c r="K57" s="4"/>
      <c r="L57" s="4">
        <v>212.96</v>
      </c>
      <c r="M57" s="4">
        <v>212.96</v>
      </c>
      <c r="N57" s="5">
        <v>44430</v>
      </c>
      <c r="O57" s="4"/>
      <c r="P57" s="4" t="s">
        <v>24</v>
      </c>
    </row>
    <row r="58" spans="1:16" x14ac:dyDescent="0.25">
      <c r="A58" s="4" t="s">
        <v>17</v>
      </c>
      <c r="B58" s="5">
        <v>44389</v>
      </c>
      <c r="C58" s="4" t="str">
        <f>"206"</f>
        <v>206</v>
      </c>
      <c r="D58" s="4">
        <v>5489558209</v>
      </c>
      <c r="E58" s="5">
        <v>44417</v>
      </c>
      <c r="F58" s="4">
        <v>1541</v>
      </c>
      <c r="G58" s="4">
        <v>528</v>
      </c>
      <c r="H58" s="4" t="s">
        <v>64</v>
      </c>
      <c r="I58" s="4" t="s">
        <v>65</v>
      </c>
      <c r="J58" s="4" t="s">
        <v>66</v>
      </c>
      <c r="K58" s="4"/>
      <c r="L58" s="4">
        <v>53.12</v>
      </c>
      <c r="M58" s="4">
        <v>53.12</v>
      </c>
      <c r="N58" s="5">
        <v>44430</v>
      </c>
      <c r="O58" s="4"/>
      <c r="P58" s="4" t="s">
        <v>24</v>
      </c>
    </row>
    <row r="59" spans="1:16" x14ac:dyDescent="0.25">
      <c r="A59" s="4" t="s">
        <v>17</v>
      </c>
      <c r="B59" s="5">
        <v>44389</v>
      </c>
      <c r="C59" s="4" t="str">
        <f>"207"</f>
        <v>207</v>
      </c>
      <c r="D59" s="4">
        <v>5489579700</v>
      </c>
      <c r="E59" s="5">
        <v>44417</v>
      </c>
      <c r="F59" s="4">
        <v>1554</v>
      </c>
      <c r="G59" s="4">
        <v>528</v>
      </c>
      <c r="H59" s="4" t="s">
        <v>64</v>
      </c>
      <c r="I59" s="4" t="s">
        <v>65</v>
      </c>
      <c r="J59" s="4" t="s">
        <v>66</v>
      </c>
      <c r="K59" s="4"/>
      <c r="L59" s="4">
        <v>11.16</v>
      </c>
      <c r="M59" s="4">
        <v>11.16</v>
      </c>
      <c r="N59" s="5">
        <v>44430</v>
      </c>
      <c r="O59" s="4"/>
      <c r="P59" s="4" t="s">
        <v>24</v>
      </c>
    </row>
    <row r="60" spans="1:16" x14ac:dyDescent="0.25">
      <c r="A60" s="4" t="s">
        <v>17</v>
      </c>
      <c r="B60" s="5">
        <v>44389</v>
      </c>
      <c r="C60" s="4" t="str">
        <f>"208"</f>
        <v>208</v>
      </c>
      <c r="D60" s="4">
        <v>5489602217</v>
      </c>
      <c r="E60" s="5">
        <v>44417</v>
      </c>
      <c r="F60" s="4">
        <v>1555</v>
      </c>
      <c r="G60" s="4">
        <v>528</v>
      </c>
      <c r="H60" s="4" t="s">
        <v>64</v>
      </c>
      <c r="I60" s="4" t="s">
        <v>65</v>
      </c>
      <c r="J60" s="4" t="s">
        <v>66</v>
      </c>
      <c r="K60" s="4"/>
      <c r="L60" s="4">
        <v>26.93</v>
      </c>
      <c r="M60" s="4">
        <v>26.93</v>
      </c>
      <c r="N60" s="5">
        <v>44430</v>
      </c>
      <c r="O60" s="4"/>
      <c r="P60" s="4" t="s">
        <v>24</v>
      </c>
    </row>
    <row r="61" spans="1:16" x14ac:dyDescent="0.25">
      <c r="A61" s="4" t="s">
        <v>70</v>
      </c>
      <c r="B61" s="5">
        <v>44389</v>
      </c>
      <c r="C61" s="4" t="str">
        <f>"9"</f>
        <v>9</v>
      </c>
      <c r="D61" s="4">
        <v>5488432922</v>
      </c>
      <c r="E61" s="5">
        <v>44417</v>
      </c>
      <c r="F61" s="4">
        <v>1542</v>
      </c>
      <c r="G61" s="4">
        <v>528</v>
      </c>
      <c r="H61" s="4" t="s">
        <v>64</v>
      </c>
      <c r="I61" s="4" t="s">
        <v>65</v>
      </c>
      <c r="J61" s="4" t="s">
        <v>66</v>
      </c>
      <c r="K61" s="4"/>
      <c r="L61" s="4">
        <v>-485.97</v>
      </c>
      <c r="M61" s="4">
        <v>-485.97</v>
      </c>
      <c r="N61" s="5">
        <v>44430</v>
      </c>
      <c r="O61" s="4"/>
      <c r="P61" s="4" t="s">
        <v>24</v>
      </c>
    </row>
    <row r="62" spans="1:16" x14ac:dyDescent="0.25">
      <c r="A62" s="4" t="s">
        <v>17</v>
      </c>
      <c r="B62" s="5">
        <v>44389</v>
      </c>
      <c r="C62" s="4" t="str">
        <f>"7/PA"</f>
        <v>7/PA</v>
      </c>
      <c r="D62" s="4">
        <v>5411875804</v>
      </c>
      <c r="E62" s="5">
        <v>44405</v>
      </c>
      <c r="F62" s="4">
        <v>1416</v>
      </c>
      <c r="G62" s="4">
        <v>4539</v>
      </c>
      <c r="H62" s="4" t="s">
        <v>41</v>
      </c>
      <c r="I62" s="4" t="s">
        <v>42</v>
      </c>
      <c r="J62" s="4" t="s">
        <v>43</v>
      </c>
      <c r="K62" s="4" t="s">
        <v>77</v>
      </c>
      <c r="L62" s="6">
        <v>1757.57</v>
      </c>
      <c r="M62" s="6">
        <v>1440.63</v>
      </c>
      <c r="N62" s="5">
        <v>44419</v>
      </c>
      <c r="O62" s="5">
        <v>44522</v>
      </c>
      <c r="P62" s="4" t="s">
        <v>24</v>
      </c>
    </row>
    <row r="63" spans="1:16" x14ac:dyDescent="0.25">
      <c r="A63" s="4" t="s">
        <v>17</v>
      </c>
      <c r="B63" s="5">
        <v>44387</v>
      </c>
      <c r="C63" s="4" t="str">
        <f>"84"</f>
        <v>84</v>
      </c>
      <c r="D63" s="4">
        <v>5426481057</v>
      </c>
      <c r="E63" s="5">
        <v>44407</v>
      </c>
      <c r="F63" s="4">
        <v>1472</v>
      </c>
      <c r="G63" s="4">
        <v>7690</v>
      </c>
      <c r="H63" s="4" t="s">
        <v>78</v>
      </c>
      <c r="I63" s="4">
        <v>2287970657</v>
      </c>
      <c r="J63" s="4" t="s">
        <v>79</v>
      </c>
      <c r="K63" s="4"/>
      <c r="L63" s="6">
        <v>3322.18</v>
      </c>
      <c r="M63" s="6">
        <v>2723.1</v>
      </c>
      <c r="N63" s="5">
        <v>44421</v>
      </c>
      <c r="O63" s="5">
        <v>44503</v>
      </c>
      <c r="P63" s="4" t="s">
        <v>24</v>
      </c>
    </row>
    <row r="64" spans="1:16" x14ac:dyDescent="0.25">
      <c r="A64" s="4" t="s">
        <v>17</v>
      </c>
      <c r="B64" s="5">
        <v>44383</v>
      </c>
      <c r="C64" s="4" t="str">
        <f>"17"</f>
        <v>17</v>
      </c>
      <c r="D64" s="4">
        <v>5372431192</v>
      </c>
      <c r="E64" s="5">
        <v>44529</v>
      </c>
      <c r="F64" s="4">
        <v>2214</v>
      </c>
      <c r="G64" s="4">
        <v>7623</v>
      </c>
      <c r="H64" s="4" t="s">
        <v>80</v>
      </c>
      <c r="I64" s="4" t="s">
        <v>81</v>
      </c>
      <c r="J64" s="4" t="s">
        <v>82</v>
      </c>
      <c r="K64" s="4" t="s">
        <v>83</v>
      </c>
      <c r="L64" s="6">
        <v>3565.59</v>
      </c>
      <c r="M64" s="6">
        <v>3565.59</v>
      </c>
      <c r="N64" s="5">
        <v>44414</v>
      </c>
      <c r="O64" s="5">
        <v>44533</v>
      </c>
      <c r="P64" s="4" t="s">
        <v>59</v>
      </c>
    </row>
    <row r="65" spans="1:16" x14ac:dyDescent="0.25">
      <c r="A65" s="4" t="s">
        <v>17</v>
      </c>
      <c r="B65" s="5">
        <v>44382</v>
      </c>
      <c r="C65" s="4" t="str">
        <f>"680/2021"</f>
        <v>680/2021</v>
      </c>
      <c r="D65" s="4">
        <v>5376689012</v>
      </c>
      <c r="E65" s="5">
        <v>44385</v>
      </c>
      <c r="F65" s="4">
        <v>1299</v>
      </c>
      <c r="G65" s="4">
        <v>4894</v>
      </c>
      <c r="H65" s="4" t="s">
        <v>71</v>
      </c>
      <c r="I65" s="4">
        <v>2573370810</v>
      </c>
      <c r="J65" s="4" t="s">
        <v>72</v>
      </c>
      <c r="K65" s="4"/>
      <c r="L65" s="6">
        <v>3873.76</v>
      </c>
      <c r="M65" s="6">
        <v>3873.76</v>
      </c>
      <c r="N65" s="5">
        <v>44414</v>
      </c>
      <c r="O65" s="5">
        <v>44551</v>
      </c>
      <c r="P65" s="4" t="s">
        <v>20</v>
      </c>
    </row>
    <row r="66" spans="1:16" x14ac:dyDescent="0.25">
      <c r="A66" s="4" t="s">
        <v>17</v>
      </c>
      <c r="B66" s="5">
        <v>44377</v>
      </c>
      <c r="C66" s="4" t="str">
        <f>"A20020211000024701"</f>
        <v>A20020211000024701</v>
      </c>
      <c r="D66" s="4">
        <v>5351940179</v>
      </c>
      <c r="E66" s="5">
        <v>44397</v>
      </c>
      <c r="F66" s="4">
        <v>1347</v>
      </c>
      <c r="G66" s="4">
        <v>4470</v>
      </c>
      <c r="H66" s="4" t="s">
        <v>84</v>
      </c>
      <c r="I66" s="4"/>
      <c r="J66" s="4" t="s">
        <v>85</v>
      </c>
      <c r="K66" s="4"/>
      <c r="L66" s="4">
        <v>662.46</v>
      </c>
      <c r="M66" s="4">
        <v>543</v>
      </c>
      <c r="N66" s="5">
        <v>44411</v>
      </c>
      <c r="O66" s="5">
        <v>44503</v>
      </c>
      <c r="P66" s="4" t="s">
        <v>24</v>
      </c>
    </row>
    <row r="67" spans="1:16" x14ac:dyDescent="0.25">
      <c r="A67" s="4" t="s">
        <v>17</v>
      </c>
      <c r="B67" s="5">
        <v>44366</v>
      </c>
      <c r="C67" s="4" t="str">
        <f>"70/E"</f>
        <v>70/E</v>
      </c>
      <c r="D67" s="4">
        <v>5281029870</v>
      </c>
      <c r="E67" s="5">
        <v>44370</v>
      </c>
      <c r="F67" s="4">
        <v>1258</v>
      </c>
      <c r="G67" s="4">
        <v>6753</v>
      </c>
      <c r="H67" s="4" t="s">
        <v>86</v>
      </c>
      <c r="I67" s="4"/>
      <c r="J67" s="4" t="s">
        <v>87</v>
      </c>
      <c r="K67" s="4"/>
      <c r="L67" s="4">
        <v>40.61</v>
      </c>
      <c r="M67" s="4">
        <v>33.68</v>
      </c>
      <c r="N67" s="5">
        <v>44398</v>
      </c>
      <c r="O67" s="5">
        <v>44551</v>
      </c>
      <c r="P67" s="4" t="s">
        <v>20</v>
      </c>
    </row>
    <row r="68" spans="1:16" x14ac:dyDescent="0.25">
      <c r="A68" s="4" t="s">
        <v>17</v>
      </c>
      <c r="B68" s="5">
        <v>44365</v>
      </c>
      <c r="C68" s="4" t="str">
        <f>"69/E"</f>
        <v>69/E</v>
      </c>
      <c r="D68" s="4">
        <v>5281028523</v>
      </c>
      <c r="E68" s="5">
        <v>44370</v>
      </c>
      <c r="F68" s="4">
        <v>1257</v>
      </c>
      <c r="G68" s="4">
        <v>6753</v>
      </c>
      <c r="H68" s="4" t="s">
        <v>86</v>
      </c>
      <c r="I68" s="4"/>
      <c r="J68" s="4" t="s">
        <v>87</v>
      </c>
      <c r="K68" s="4"/>
      <c r="L68" s="4">
        <v>32.15</v>
      </c>
      <c r="M68" s="4">
        <v>28.34</v>
      </c>
      <c r="N68" s="5">
        <v>44398</v>
      </c>
      <c r="O68" s="5">
        <v>44551</v>
      </c>
      <c r="P68" s="4" t="s">
        <v>20</v>
      </c>
    </row>
    <row r="69" spans="1:16" x14ac:dyDescent="0.25">
      <c r="A69" s="4" t="s">
        <v>17</v>
      </c>
      <c r="B69" s="5">
        <v>44362</v>
      </c>
      <c r="C69" s="4" t="str">
        <f>"1/2021/117"</f>
        <v>1/2021/117</v>
      </c>
      <c r="D69" s="4">
        <v>5346716767</v>
      </c>
      <c r="E69" s="5">
        <v>44404</v>
      </c>
      <c r="F69" s="4">
        <v>1380</v>
      </c>
      <c r="G69" s="4">
        <v>4012</v>
      </c>
      <c r="H69" s="4" t="s">
        <v>88</v>
      </c>
      <c r="I69" s="4">
        <v>2363280815</v>
      </c>
      <c r="J69" s="4" t="s">
        <v>89</v>
      </c>
      <c r="K69" s="4" t="s">
        <v>90</v>
      </c>
      <c r="L69" s="4">
        <v>180.34</v>
      </c>
      <c r="M69" s="4">
        <v>180.34</v>
      </c>
      <c r="N69" s="5">
        <v>44410</v>
      </c>
      <c r="O69" s="5">
        <v>44545</v>
      </c>
      <c r="P69" s="4" t="s">
        <v>91</v>
      </c>
    </row>
    <row r="70" spans="1:16" x14ac:dyDescent="0.25">
      <c r="A70" s="4" t="s">
        <v>17</v>
      </c>
      <c r="B70" s="5">
        <v>44362</v>
      </c>
      <c r="C70" s="4" t="str">
        <f>"1/2021/118"</f>
        <v>1/2021/118</v>
      </c>
      <c r="D70" s="4">
        <v>5346716893</v>
      </c>
      <c r="E70" s="5">
        <v>44404</v>
      </c>
      <c r="F70" s="4">
        <v>1381</v>
      </c>
      <c r="G70" s="4">
        <v>4012</v>
      </c>
      <c r="H70" s="4" t="s">
        <v>88</v>
      </c>
      <c r="I70" s="4">
        <v>2363280815</v>
      </c>
      <c r="J70" s="4" t="s">
        <v>89</v>
      </c>
      <c r="K70" s="4" t="s">
        <v>92</v>
      </c>
      <c r="L70" s="4">
        <v>180.34</v>
      </c>
      <c r="M70" s="4">
        <v>180.34</v>
      </c>
      <c r="N70" s="5">
        <v>44410</v>
      </c>
      <c r="O70" s="5">
        <v>44545</v>
      </c>
      <c r="P70" s="4" t="s">
        <v>91</v>
      </c>
    </row>
    <row r="71" spans="1:16" x14ac:dyDescent="0.25">
      <c r="A71" s="4" t="s">
        <v>17</v>
      </c>
      <c r="B71" s="5">
        <v>44358</v>
      </c>
      <c r="C71" s="4" t="str">
        <f>"6/PA"</f>
        <v>6/PA</v>
      </c>
      <c r="D71" s="4">
        <v>5227318228</v>
      </c>
      <c r="E71" s="5">
        <v>44383</v>
      </c>
      <c r="F71" s="4">
        <v>1275</v>
      </c>
      <c r="G71" s="4">
        <v>4539</v>
      </c>
      <c r="H71" s="4" t="s">
        <v>41</v>
      </c>
      <c r="I71" s="4" t="s">
        <v>42</v>
      </c>
      <c r="J71" s="4" t="s">
        <v>43</v>
      </c>
      <c r="K71" s="4" t="s">
        <v>93</v>
      </c>
      <c r="L71" s="6">
        <v>1387.13</v>
      </c>
      <c r="M71" s="6">
        <v>1136.99</v>
      </c>
      <c r="N71" s="5">
        <v>44388</v>
      </c>
      <c r="O71" s="5">
        <v>44522</v>
      </c>
      <c r="P71" s="4" t="s">
        <v>24</v>
      </c>
    </row>
    <row r="72" spans="1:16" x14ac:dyDescent="0.25">
      <c r="A72" s="4" t="s">
        <v>17</v>
      </c>
      <c r="B72" s="5">
        <v>44357</v>
      </c>
      <c r="C72" s="4" t="str">
        <f>"7X01870711"</f>
        <v>7X01870711</v>
      </c>
      <c r="D72" s="4">
        <v>5235848900</v>
      </c>
      <c r="E72" s="5">
        <v>44363</v>
      </c>
      <c r="F72" s="4">
        <v>1177</v>
      </c>
      <c r="G72" s="4">
        <v>3564</v>
      </c>
      <c r="H72" s="4" t="s">
        <v>37</v>
      </c>
      <c r="I72" s="4">
        <v>488410010</v>
      </c>
      <c r="J72" s="4" t="s">
        <v>38</v>
      </c>
      <c r="K72" s="4" t="s">
        <v>94</v>
      </c>
      <c r="L72" s="4">
        <v>153.33000000000001</v>
      </c>
      <c r="M72" s="4">
        <v>125.68</v>
      </c>
      <c r="N72" s="5">
        <v>44390</v>
      </c>
      <c r="O72" s="5">
        <v>44484</v>
      </c>
      <c r="P72" s="4" t="s">
        <v>40</v>
      </c>
    </row>
    <row r="73" spans="1:16" x14ac:dyDescent="0.25">
      <c r="A73" s="4" t="s">
        <v>17</v>
      </c>
      <c r="B73" s="5">
        <v>44357</v>
      </c>
      <c r="C73" s="4" t="str">
        <f>"8V00183187"</f>
        <v>8V00183187</v>
      </c>
      <c r="D73" s="4">
        <v>5244735459</v>
      </c>
      <c r="E73" s="5">
        <v>44363</v>
      </c>
      <c r="F73" s="4">
        <v>1178</v>
      </c>
      <c r="G73" s="4">
        <v>3564</v>
      </c>
      <c r="H73" s="4" t="s">
        <v>37</v>
      </c>
      <c r="I73" s="4">
        <v>488410010</v>
      </c>
      <c r="J73" s="4" t="s">
        <v>38</v>
      </c>
      <c r="K73" s="4" t="s">
        <v>94</v>
      </c>
      <c r="L73" s="4">
        <v>134.19999999999999</v>
      </c>
      <c r="M73" s="4">
        <v>110</v>
      </c>
      <c r="N73" s="5">
        <v>44392</v>
      </c>
      <c r="O73" s="5">
        <v>44490</v>
      </c>
      <c r="P73" s="4" t="s">
        <v>20</v>
      </c>
    </row>
    <row r="74" spans="1:16" x14ac:dyDescent="0.25">
      <c r="A74" s="4" t="s">
        <v>17</v>
      </c>
      <c r="B74" s="5">
        <v>44357</v>
      </c>
      <c r="C74" s="4" t="str">
        <f>"8V00184301"</f>
        <v>8V00184301</v>
      </c>
      <c r="D74" s="4">
        <v>5246220922</v>
      </c>
      <c r="E74" s="5">
        <v>44363</v>
      </c>
      <c r="F74" s="4">
        <v>1188</v>
      </c>
      <c r="G74" s="4">
        <v>3564</v>
      </c>
      <c r="H74" s="4" t="s">
        <v>37</v>
      </c>
      <c r="I74" s="4">
        <v>488410010</v>
      </c>
      <c r="J74" s="4" t="s">
        <v>38</v>
      </c>
      <c r="K74" s="4" t="s">
        <v>94</v>
      </c>
      <c r="L74" s="6">
        <v>2321.7600000000002</v>
      </c>
      <c r="M74" s="6">
        <v>1903.08</v>
      </c>
      <c r="N74" s="5">
        <v>44391</v>
      </c>
      <c r="O74" s="5">
        <v>44510</v>
      </c>
      <c r="P74" s="4" t="s">
        <v>40</v>
      </c>
    </row>
    <row r="75" spans="1:16" x14ac:dyDescent="0.25">
      <c r="A75" s="4" t="s">
        <v>17</v>
      </c>
      <c r="B75" s="5">
        <v>44357</v>
      </c>
      <c r="C75" s="4" t="str">
        <f>"8V00184494"</f>
        <v>8V00184494</v>
      </c>
      <c r="D75" s="4">
        <v>5242768405</v>
      </c>
      <c r="E75" s="5">
        <v>44363</v>
      </c>
      <c r="F75" s="4">
        <v>1184</v>
      </c>
      <c r="G75" s="4">
        <v>3564</v>
      </c>
      <c r="H75" s="4" t="s">
        <v>37</v>
      </c>
      <c r="I75" s="4">
        <v>488410010</v>
      </c>
      <c r="J75" s="4" t="s">
        <v>38</v>
      </c>
      <c r="K75" s="4" t="s">
        <v>94</v>
      </c>
      <c r="L75" s="4">
        <v>148.08000000000001</v>
      </c>
      <c r="M75" s="4">
        <v>123.18</v>
      </c>
      <c r="N75" s="5">
        <v>44391</v>
      </c>
      <c r="O75" s="5">
        <v>44490</v>
      </c>
      <c r="P75" s="4" t="s">
        <v>40</v>
      </c>
    </row>
    <row r="76" spans="1:16" x14ac:dyDescent="0.25">
      <c r="A76" s="4" t="s">
        <v>17</v>
      </c>
      <c r="B76" s="5">
        <v>44357</v>
      </c>
      <c r="C76" s="4" t="str">
        <f>"8V00184587"</f>
        <v>8V00184587</v>
      </c>
      <c r="D76" s="4">
        <v>5244735580</v>
      </c>
      <c r="E76" s="5">
        <v>44363</v>
      </c>
      <c r="F76" s="4">
        <v>1179</v>
      </c>
      <c r="G76" s="4">
        <v>3564</v>
      </c>
      <c r="H76" s="4" t="s">
        <v>37</v>
      </c>
      <c r="I76" s="4">
        <v>488410010</v>
      </c>
      <c r="J76" s="4" t="s">
        <v>38</v>
      </c>
      <c r="K76" s="4" t="s">
        <v>94</v>
      </c>
      <c r="L76" s="4">
        <v>145.53</v>
      </c>
      <c r="M76" s="4">
        <v>119.29</v>
      </c>
      <c r="N76" s="5">
        <v>44392</v>
      </c>
      <c r="O76" s="5">
        <v>44490</v>
      </c>
      <c r="P76" s="4" t="s">
        <v>20</v>
      </c>
    </row>
    <row r="77" spans="1:16" x14ac:dyDescent="0.25">
      <c r="A77" s="4" t="s">
        <v>17</v>
      </c>
      <c r="B77" s="5">
        <v>44357</v>
      </c>
      <c r="C77" s="4" t="str">
        <f>"8V00185115"</f>
        <v>8V00185115</v>
      </c>
      <c r="D77" s="4">
        <v>5246197769</v>
      </c>
      <c r="E77" s="5">
        <v>44363</v>
      </c>
      <c r="F77" s="4">
        <v>1186</v>
      </c>
      <c r="G77" s="4">
        <v>3564</v>
      </c>
      <c r="H77" s="4" t="s">
        <v>37</v>
      </c>
      <c r="I77" s="4">
        <v>488410010</v>
      </c>
      <c r="J77" s="4" t="s">
        <v>38</v>
      </c>
      <c r="K77" s="4" t="s">
        <v>94</v>
      </c>
      <c r="L77" s="4">
        <v>193.94</v>
      </c>
      <c r="M77" s="4">
        <v>160.94</v>
      </c>
      <c r="N77" s="5">
        <v>44392</v>
      </c>
      <c r="O77" s="5">
        <v>44490</v>
      </c>
      <c r="P77" s="4" t="s">
        <v>40</v>
      </c>
    </row>
    <row r="78" spans="1:16" x14ac:dyDescent="0.25">
      <c r="A78" s="4" t="s">
        <v>17</v>
      </c>
      <c r="B78" s="5">
        <v>44357</v>
      </c>
      <c r="C78" s="4" t="str">
        <f>"8V00185300"</f>
        <v>8V00185300</v>
      </c>
      <c r="D78" s="4">
        <v>5244119486</v>
      </c>
      <c r="E78" s="5">
        <v>44363</v>
      </c>
      <c r="F78" s="4">
        <v>1182</v>
      </c>
      <c r="G78" s="4">
        <v>3564</v>
      </c>
      <c r="H78" s="4" t="s">
        <v>37</v>
      </c>
      <c r="I78" s="4">
        <v>488410010</v>
      </c>
      <c r="J78" s="4" t="s">
        <v>38</v>
      </c>
      <c r="K78" s="4" t="s">
        <v>94</v>
      </c>
      <c r="L78" s="4">
        <v>180.8</v>
      </c>
      <c r="M78" s="4">
        <v>150</v>
      </c>
      <c r="N78" s="5">
        <v>44391</v>
      </c>
      <c r="O78" s="5">
        <v>44490</v>
      </c>
      <c r="P78" s="4" t="s">
        <v>20</v>
      </c>
    </row>
    <row r="79" spans="1:16" x14ac:dyDescent="0.25">
      <c r="A79" s="4" t="s">
        <v>17</v>
      </c>
      <c r="B79" s="5">
        <v>44357</v>
      </c>
      <c r="C79" s="4" t="str">
        <f>"8V00185567"</f>
        <v>8V00185567</v>
      </c>
      <c r="D79" s="4">
        <v>5245114920</v>
      </c>
      <c r="E79" s="5">
        <v>44363</v>
      </c>
      <c r="F79" s="4">
        <v>1180</v>
      </c>
      <c r="G79" s="4">
        <v>3564</v>
      </c>
      <c r="H79" s="4" t="s">
        <v>37</v>
      </c>
      <c r="I79" s="4">
        <v>488410010</v>
      </c>
      <c r="J79" s="4" t="s">
        <v>38</v>
      </c>
      <c r="K79" s="4" t="s">
        <v>94</v>
      </c>
      <c r="L79" s="4">
        <v>144.19999999999999</v>
      </c>
      <c r="M79" s="4">
        <v>120</v>
      </c>
      <c r="N79" s="5">
        <v>44391</v>
      </c>
      <c r="O79" s="5">
        <v>44490</v>
      </c>
      <c r="P79" s="4" t="s">
        <v>20</v>
      </c>
    </row>
    <row r="80" spans="1:16" x14ac:dyDescent="0.25">
      <c r="A80" s="4" t="s">
        <v>17</v>
      </c>
      <c r="B80" s="5">
        <v>44357</v>
      </c>
      <c r="C80" s="4" t="str">
        <f>"8V00185616"</f>
        <v>8V00185616</v>
      </c>
      <c r="D80" s="4">
        <v>5243897019</v>
      </c>
      <c r="E80" s="5">
        <v>44363</v>
      </c>
      <c r="F80" s="4">
        <v>1183</v>
      </c>
      <c r="G80" s="4">
        <v>3564</v>
      </c>
      <c r="H80" s="4" t="s">
        <v>37</v>
      </c>
      <c r="I80" s="4">
        <v>488410010</v>
      </c>
      <c r="J80" s="4" t="s">
        <v>38</v>
      </c>
      <c r="K80" s="4" t="s">
        <v>94</v>
      </c>
      <c r="L80" s="4">
        <v>80.28</v>
      </c>
      <c r="M80" s="4">
        <v>65.8</v>
      </c>
      <c r="N80" s="5">
        <v>44391</v>
      </c>
      <c r="O80" s="5">
        <v>44490</v>
      </c>
      <c r="P80" s="4" t="s">
        <v>20</v>
      </c>
    </row>
    <row r="81" spans="1:16" x14ac:dyDescent="0.25">
      <c r="A81" s="4" t="s">
        <v>17</v>
      </c>
      <c r="B81" s="5">
        <v>44357</v>
      </c>
      <c r="C81" s="4" t="str">
        <f>"8V00185699"</f>
        <v>8V00185699</v>
      </c>
      <c r="D81" s="4">
        <v>5245113583</v>
      </c>
      <c r="E81" s="5">
        <v>44363</v>
      </c>
      <c r="F81" s="4">
        <v>1181</v>
      </c>
      <c r="G81" s="4">
        <v>3564</v>
      </c>
      <c r="H81" s="4" t="s">
        <v>37</v>
      </c>
      <c r="I81" s="4">
        <v>488410010</v>
      </c>
      <c r="J81" s="4" t="s">
        <v>38</v>
      </c>
      <c r="K81" s="4" t="s">
        <v>94</v>
      </c>
      <c r="L81" s="4">
        <v>144.19999999999999</v>
      </c>
      <c r="M81" s="4">
        <v>120</v>
      </c>
      <c r="N81" s="5">
        <v>44392</v>
      </c>
      <c r="O81" s="5">
        <v>44490</v>
      </c>
      <c r="P81" s="4" t="s">
        <v>20</v>
      </c>
    </row>
    <row r="82" spans="1:16" x14ac:dyDescent="0.25">
      <c r="A82" s="4" t="s">
        <v>17</v>
      </c>
      <c r="B82" s="5">
        <v>44357</v>
      </c>
      <c r="C82" s="4" t="str">
        <f>"8V00185794"</f>
        <v>8V00185794</v>
      </c>
      <c r="D82" s="4">
        <v>5245910040</v>
      </c>
      <c r="E82" s="5">
        <v>44363</v>
      </c>
      <c r="F82" s="4">
        <v>1187</v>
      </c>
      <c r="G82" s="4">
        <v>3564</v>
      </c>
      <c r="H82" s="4" t="s">
        <v>37</v>
      </c>
      <c r="I82" s="4">
        <v>488410010</v>
      </c>
      <c r="J82" s="4" t="s">
        <v>38</v>
      </c>
      <c r="K82" s="4" t="s">
        <v>94</v>
      </c>
      <c r="L82" s="4">
        <v>91.67</v>
      </c>
      <c r="M82" s="4">
        <v>76.94</v>
      </c>
      <c r="N82" s="5">
        <v>44391</v>
      </c>
      <c r="O82" s="5">
        <v>44484</v>
      </c>
      <c r="P82" s="4" t="s">
        <v>40</v>
      </c>
    </row>
    <row r="83" spans="1:16" x14ac:dyDescent="0.25">
      <c r="A83" s="4" t="s">
        <v>17</v>
      </c>
      <c r="B83" s="5">
        <v>44357</v>
      </c>
      <c r="C83" s="4" t="str">
        <f>"8V00186211"</f>
        <v>8V00186211</v>
      </c>
      <c r="D83" s="4">
        <v>5242766468</v>
      </c>
      <c r="E83" s="5">
        <v>44363</v>
      </c>
      <c r="F83" s="4">
        <v>1185</v>
      </c>
      <c r="G83" s="4">
        <v>3564</v>
      </c>
      <c r="H83" s="4" t="s">
        <v>37</v>
      </c>
      <c r="I83" s="4">
        <v>488410010</v>
      </c>
      <c r="J83" s="4" t="s">
        <v>38</v>
      </c>
      <c r="K83" s="4" t="s">
        <v>94</v>
      </c>
      <c r="L83" s="4">
        <v>2.85</v>
      </c>
      <c r="M83" s="4">
        <v>2.34</v>
      </c>
      <c r="N83" s="5">
        <v>44391</v>
      </c>
      <c r="O83" s="5">
        <v>44510</v>
      </c>
      <c r="P83" s="4" t="s">
        <v>40</v>
      </c>
    </row>
    <row r="84" spans="1:16" x14ac:dyDescent="0.25">
      <c r="A84" s="4" t="s">
        <v>17</v>
      </c>
      <c r="B84" s="5">
        <v>44357</v>
      </c>
      <c r="C84" s="4" t="str">
        <f>"8V00186455"</f>
        <v>8V00186455</v>
      </c>
      <c r="D84" s="4">
        <v>5242731641</v>
      </c>
      <c r="E84" s="5">
        <v>44363</v>
      </c>
      <c r="F84" s="4">
        <v>1189</v>
      </c>
      <c r="G84" s="4">
        <v>3564</v>
      </c>
      <c r="H84" s="4" t="s">
        <v>37</v>
      </c>
      <c r="I84" s="4">
        <v>488410010</v>
      </c>
      <c r="J84" s="4" t="s">
        <v>38</v>
      </c>
      <c r="K84" s="4" t="s">
        <v>94</v>
      </c>
      <c r="L84" s="4">
        <v>229.16</v>
      </c>
      <c r="M84" s="4">
        <v>187.84</v>
      </c>
      <c r="N84" s="5">
        <v>44391</v>
      </c>
      <c r="O84" s="5">
        <v>44510</v>
      </c>
      <c r="P84" s="4" t="s">
        <v>40</v>
      </c>
    </row>
    <row r="85" spans="1:16" x14ac:dyDescent="0.25">
      <c r="A85" s="4" t="s">
        <v>70</v>
      </c>
      <c r="B85" s="5">
        <v>44351</v>
      </c>
      <c r="C85" s="4" t="str">
        <f>"8"</f>
        <v>8</v>
      </c>
      <c r="D85" s="4">
        <v>5249342109</v>
      </c>
      <c r="E85" s="5">
        <v>44383</v>
      </c>
      <c r="F85" s="4">
        <v>1276</v>
      </c>
      <c r="G85" s="4">
        <v>528</v>
      </c>
      <c r="H85" s="4" t="s">
        <v>64</v>
      </c>
      <c r="I85" s="4" t="s">
        <v>65</v>
      </c>
      <c r="J85" s="4" t="s">
        <v>66</v>
      </c>
      <c r="K85" s="4"/>
      <c r="L85" s="4">
        <v>-253.5</v>
      </c>
      <c r="M85" s="4">
        <v>-253.5</v>
      </c>
      <c r="N85" s="5">
        <v>44392</v>
      </c>
      <c r="O85" s="4"/>
      <c r="P85" s="4" t="s">
        <v>24</v>
      </c>
    </row>
    <row r="86" spans="1:16" x14ac:dyDescent="0.25">
      <c r="A86" s="4" t="s">
        <v>17</v>
      </c>
      <c r="B86" s="5">
        <v>44343</v>
      </c>
      <c r="C86" s="4" t="str">
        <f>"1010688458"</f>
        <v>1010688458</v>
      </c>
      <c r="D86" s="4">
        <v>5136522114</v>
      </c>
      <c r="E86" s="5">
        <v>44356</v>
      </c>
      <c r="F86" s="4">
        <v>1072</v>
      </c>
      <c r="G86" s="4">
        <v>4439</v>
      </c>
      <c r="H86" s="4" t="s">
        <v>21</v>
      </c>
      <c r="I86" s="4">
        <v>1788080156</v>
      </c>
      <c r="J86" s="4" t="s">
        <v>22</v>
      </c>
      <c r="K86" s="4" t="s">
        <v>23</v>
      </c>
      <c r="L86" s="4">
        <v>477.59</v>
      </c>
      <c r="M86" s="4">
        <v>391.47</v>
      </c>
      <c r="N86" s="5">
        <v>44374</v>
      </c>
      <c r="O86" s="5">
        <v>44476</v>
      </c>
      <c r="P86" s="4" t="s">
        <v>24</v>
      </c>
    </row>
    <row r="87" spans="1:16" x14ac:dyDescent="0.25">
      <c r="A87" s="4" t="s">
        <v>70</v>
      </c>
      <c r="B87" s="5">
        <v>44322</v>
      </c>
      <c r="C87" s="4" t="str">
        <f>"1020020210000000100"</f>
        <v>1020020210000000100</v>
      </c>
      <c r="D87" s="4">
        <v>5057805034</v>
      </c>
      <c r="E87" s="5">
        <v>44356</v>
      </c>
      <c r="F87" s="4">
        <v>1063</v>
      </c>
      <c r="G87" s="4">
        <v>66</v>
      </c>
      <c r="H87" s="4" t="s">
        <v>95</v>
      </c>
      <c r="I87" s="4">
        <v>247990815</v>
      </c>
      <c r="J87" s="4" t="s">
        <v>96</v>
      </c>
      <c r="K87" s="4" t="s">
        <v>97</v>
      </c>
      <c r="L87" s="4">
        <v>-90.22</v>
      </c>
      <c r="M87" s="4">
        <v>-82.02</v>
      </c>
      <c r="N87" s="5">
        <v>44359</v>
      </c>
      <c r="O87" s="5">
        <v>44796</v>
      </c>
      <c r="P87" s="4" t="s">
        <v>24</v>
      </c>
    </row>
    <row r="88" spans="1:16" x14ac:dyDescent="0.25">
      <c r="A88" s="4" t="s">
        <v>70</v>
      </c>
      <c r="B88" s="5">
        <v>44322</v>
      </c>
      <c r="C88" s="4" t="str">
        <f>"1020020210000000200"</f>
        <v>1020020210000000200</v>
      </c>
      <c r="D88" s="4">
        <v>5057805089</v>
      </c>
      <c r="E88" s="5">
        <v>44356</v>
      </c>
      <c r="F88" s="4">
        <v>1065</v>
      </c>
      <c r="G88" s="4">
        <v>66</v>
      </c>
      <c r="H88" s="4" t="s">
        <v>95</v>
      </c>
      <c r="I88" s="4">
        <v>247990815</v>
      </c>
      <c r="J88" s="4" t="s">
        <v>96</v>
      </c>
      <c r="K88" s="4" t="s">
        <v>97</v>
      </c>
      <c r="L88" s="4">
        <v>-531.65</v>
      </c>
      <c r="M88" s="4">
        <v>-483.32</v>
      </c>
      <c r="N88" s="5">
        <v>44360</v>
      </c>
      <c r="O88" s="5">
        <v>44796</v>
      </c>
      <c r="P88" s="4" t="s">
        <v>24</v>
      </c>
    </row>
    <row r="89" spans="1:16" x14ac:dyDescent="0.25">
      <c r="A89" s="4" t="s">
        <v>17</v>
      </c>
      <c r="B89" s="5">
        <v>44322</v>
      </c>
      <c r="C89" s="4" t="str">
        <f>"140"</f>
        <v>140</v>
      </c>
      <c r="D89" s="4">
        <v>5057764043</v>
      </c>
      <c r="E89" s="5">
        <v>44356</v>
      </c>
      <c r="F89" s="4">
        <v>1064</v>
      </c>
      <c r="G89" s="4">
        <v>528</v>
      </c>
      <c r="H89" s="4" t="s">
        <v>64</v>
      </c>
      <c r="I89" s="4" t="s">
        <v>65</v>
      </c>
      <c r="J89" s="4" t="s">
        <v>66</v>
      </c>
      <c r="K89" s="4"/>
      <c r="L89" s="4">
        <v>485.97</v>
      </c>
      <c r="M89" s="4">
        <v>485.97</v>
      </c>
      <c r="N89" s="5">
        <v>44359</v>
      </c>
      <c r="O89" s="4"/>
      <c r="P89" s="4" t="s">
        <v>24</v>
      </c>
    </row>
    <row r="90" spans="1:16" x14ac:dyDescent="0.25">
      <c r="A90" s="4" t="s">
        <v>17</v>
      </c>
      <c r="B90" s="5">
        <v>44322</v>
      </c>
      <c r="C90" s="4" t="str">
        <f>"VH21002504"</f>
        <v>VH21002504</v>
      </c>
      <c r="D90" s="4">
        <v>5014503473</v>
      </c>
      <c r="E90" s="5">
        <v>44327</v>
      </c>
      <c r="F90" s="4">
        <v>920</v>
      </c>
      <c r="G90" s="4">
        <v>2320</v>
      </c>
      <c r="H90" s="4" t="s">
        <v>98</v>
      </c>
      <c r="I90" s="4">
        <v>5892970152</v>
      </c>
      <c r="J90" s="4" t="s">
        <v>99</v>
      </c>
      <c r="K90" s="4" t="s">
        <v>100</v>
      </c>
      <c r="L90" s="4">
        <v>171.81</v>
      </c>
      <c r="M90" s="4">
        <v>165.2</v>
      </c>
      <c r="N90" s="5">
        <v>44353</v>
      </c>
      <c r="O90" s="5">
        <v>44643</v>
      </c>
      <c r="P90" s="4" t="s">
        <v>40</v>
      </c>
    </row>
    <row r="91" spans="1:16" x14ac:dyDescent="0.25">
      <c r="A91" s="4" t="s">
        <v>70</v>
      </c>
      <c r="B91" s="5">
        <v>44322</v>
      </c>
      <c r="C91" s="4" t="str">
        <f>"VH21002505"</f>
        <v>VH21002505</v>
      </c>
      <c r="D91" s="4">
        <v>5014502418</v>
      </c>
      <c r="E91" s="5">
        <v>44327</v>
      </c>
      <c r="F91" s="4">
        <v>919</v>
      </c>
      <c r="G91" s="4">
        <v>2320</v>
      </c>
      <c r="H91" s="4" t="s">
        <v>98</v>
      </c>
      <c r="I91" s="4">
        <v>5892970152</v>
      </c>
      <c r="J91" s="4" t="s">
        <v>99</v>
      </c>
      <c r="K91" s="4" t="s">
        <v>101</v>
      </c>
      <c r="L91" s="4">
        <v>-171.81</v>
      </c>
      <c r="M91" s="4">
        <v>-165.2</v>
      </c>
      <c r="N91" s="5">
        <v>44352</v>
      </c>
      <c r="O91" s="5">
        <v>44643</v>
      </c>
      <c r="P91" s="4" t="s">
        <v>40</v>
      </c>
    </row>
    <row r="92" spans="1:16" x14ac:dyDescent="0.25">
      <c r="A92" s="4" t="s">
        <v>17</v>
      </c>
      <c r="B92" s="5">
        <v>44322</v>
      </c>
      <c r="C92" s="4" t="str">
        <f>"6820210514000422"</f>
        <v>6820210514000422</v>
      </c>
      <c r="D92" s="4">
        <v>5018767678</v>
      </c>
      <c r="E92" s="5">
        <v>44327</v>
      </c>
      <c r="F92" s="4">
        <v>921</v>
      </c>
      <c r="G92" s="4">
        <v>3564</v>
      </c>
      <c r="H92" s="4" t="s">
        <v>37</v>
      </c>
      <c r="I92" s="4">
        <v>488410010</v>
      </c>
      <c r="J92" s="4" t="s">
        <v>38</v>
      </c>
      <c r="K92" s="4" t="s">
        <v>102</v>
      </c>
      <c r="L92" s="4">
        <v>6.32</v>
      </c>
      <c r="M92" s="4">
        <v>5.18</v>
      </c>
      <c r="N92" s="5">
        <v>44353</v>
      </c>
      <c r="O92" s="5">
        <v>44510</v>
      </c>
      <c r="P92" s="4" t="s">
        <v>40</v>
      </c>
    </row>
    <row r="93" spans="1:16" x14ac:dyDescent="0.25">
      <c r="A93" s="4" t="s">
        <v>70</v>
      </c>
      <c r="B93" s="5">
        <v>44321</v>
      </c>
      <c r="C93" s="4" t="str">
        <f>"302180159737"</f>
        <v>302180159737</v>
      </c>
      <c r="D93" s="4">
        <v>5016420077</v>
      </c>
      <c r="E93" s="5">
        <v>44329</v>
      </c>
      <c r="F93" s="4">
        <v>929</v>
      </c>
      <c r="G93" s="4">
        <v>3564</v>
      </c>
      <c r="H93" s="4" t="s">
        <v>37</v>
      </c>
      <c r="I93" s="4">
        <v>488410010</v>
      </c>
      <c r="J93" s="4" t="s">
        <v>38</v>
      </c>
      <c r="K93" s="4" t="s">
        <v>103</v>
      </c>
      <c r="L93" s="4">
        <v>-84.16</v>
      </c>
      <c r="M93" s="4">
        <v>-68.98</v>
      </c>
      <c r="N93" s="5">
        <v>44353</v>
      </c>
      <c r="O93" s="5">
        <v>44634</v>
      </c>
      <c r="P93" s="4" t="s">
        <v>104</v>
      </c>
    </row>
    <row r="94" spans="1:16" x14ac:dyDescent="0.25">
      <c r="A94" s="4" t="s">
        <v>70</v>
      </c>
      <c r="B94" s="5">
        <v>44316</v>
      </c>
      <c r="C94" s="4" t="str">
        <f>"55NC"</f>
        <v>55NC</v>
      </c>
      <c r="D94" s="4">
        <v>5085166152</v>
      </c>
      <c r="E94" s="5">
        <v>44356</v>
      </c>
      <c r="F94" s="4">
        <v>1066</v>
      </c>
      <c r="G94" s="4">
        <v>7576</v>
      </c>
      <c r="H94" s="4" t="s">
        <v>105</v>
      </c>
      <c r="I94" s="4"/>
      <c r="J94" s="4" t="s">
        <v>106</v>
      </c>
      <c r="K94" s="4" t="s">
        <v>107</v>
      </c>
      <c r="L94" s="6">
        <v>-4392</v>
      </c>
      <c r="M94" s="6">
        <v>-4392</v>
      </c>
      <c r="N94" s="5">
        <v>44364</v>
      </c>
      <c r="O94" s="4"/>
      <c r="P94" s="4" t="s">
        <v>24</v>
      </c>
    </row>
    <row r="95" spans="1:16" x14ac:dyDescent="0.25">
      <c r="A95" s="4" t="s">
        <v>17</v>
      </c>
      <c r="B95" s="5">
        <v>44316</v>
      </c>
      <c r="C95" s="4" t="str">
        <f>"56EF"</f>
        <v>56EF</v>
      </c>
      <c r="D95" s="4">
        <v>5085166175</v>
      </c>
      <c r="E95" s="5">
        <v>44356</v>
      </c>
      <c r="F95" s="4">
        <v>1067</v>
      </c>
      <c r="G95" s="4">
        <v>7576</v>
      </c>
      <c r="H95" s="4" t="s">
        <v>105</v>
      </c>
      <c r="I95" s="4"/>
      <c r="J95" s="4" t="s">
        <v>106</v>
      </c>
      <c r="K95" s="4" t="s">
        <v>108</v>
      </c>
      <c r="L95" s="6">
        <v>3600</v>
      </c>
      <c r="M95" s="6">
        <v>3600</v>
      </c>
      <c r="N95" s="5">
        <v>44364</v>
      </c>
      <c r="O95" s="4"/>
      <c r="P95" s="4" t="s">
        <v>24</v>
      </c>
    </row>
    <row r="96" spans="1:16" x14ac:dyDescent="0.25">
      <c r="A96" s="4" t="s">
        <v>17</v>
      </c>
      <c r="B96" s="5">
        <v>44299</v>
      </c>
      <c r="C96" s="4" t="str">
        <f>"1/2021/61"</f>
        <v>1/2021/61</v>
      </c>
      <c r="D96" s="4">
        <v>4878037907</v>
      </c>
      <c r="E96" s="5">
        <v>44301</v>
      </c>
      <c r="F96" s="4">
        <v>742</v>
      </c>
      <c r="G96" s="4">
        <v>4012</v>
      </c>
      <c r="H96" s="4" t="s">
        <v>88</v>
      </c>
      <c r="I96" s="4">
        <v>2363280815</v>
      </c>
      <c r="J96" s="4" t="s">
        <v>89</v>
      </c>
      <c r="K96" s="4" t="s">
        <v>109</v>
      </c>
      <c r="L96" s="4">
        <v>180.34</v>
      </c>
      <c r="M96" s="4">
        <v>180.34</v>
      </c>
      <c r="N96" s="5">
        <v>44329</v>
      </c>
      <c r="O96" s="5">
        <v>44545</v>
      </c>
      <c r="P96" s="4" t="s">
        <v>91</v>
      </c>
    </row>
    <row r="97" spans="1:16" x14ac:dyDescent="0.25">
      <c r="A97" s="4" t="s">
        <v>17</v>
      </c>
      <c r="B97" s="5">
        <v>44298</v>
      </c>
      <c r="C97" s="4" t="str">
        <f>"8V00115392"</f>
        <v>8V00115392</v>
      </c>
      <c r="D97" s="4">
        <v>4909550406</v>
      </c>
      <c r="E97" s="5">
        <v>44305</v>
      </c>
      <c r="F97" s="4">
        <v>771</v>
      </c>
      <c r="G97" s="4">
        <v>3564</v>
      </c>
      <c r="H97" s="4" t="s">
        <v>37</v>
      </c>
      <c r="I97" s="4">
        <v>488410010</v>
      </c>
      <c r="J97" s="4" t="s">
        <v>38</v>
      </c>
      <c r="K97" s="4" t="s">
        <v>110</v>
      </c>
      <c r="L97" s="4">
        <v>69.010000000000005</v>
      </c>
      <c r="M97" s="4">
        <v>69.010000000000005</v>
      </c>
      <c r="N97" s="5">
        <v>44334</v>
      </c>
      <c r="O97" s="5">
        <v>44510</v>
      </c>
      <c r="P97" s="4" t="s">
        <v>40</v>
      </c>
    </row>
    <row r="98" spans="1:16" x14ac:dyDescent="0.25">
      <c r="A98" s="4" t="s">
        <v>17</v>
      </c>
      <c r="B98" s="5">
        <v>44298</v>
      </c>
      <c r="C98" s="4" t="str">
        <f>"8V00116167"</f>
        <v>8V00116167</v>
      </c>
      <c r="D98" s="4">
        <v>4909546300</v>
      </c>
      <c r="E98" s="5">
        <v>44305</v>
      </c>
      <c r="F98" s="4">
        <v>773</v>
      </c>
      <c r="G98" s="4">
        <v>3564</v>
      </c>
      <c r="H98" s="4" t="s">
        <v>37</v>
      </c>
      <c r="I98" s="4">
        <v>488410010</v>
      </c>
      <c r="J98" s="4" t="s">
        <v>38</v>
      </c>
      <c r="K98" s="4" t="s">
        <v>110</v>
      </c>
      <c r="L98" s="4">
        <v>213.81</v>
      </c>
      <c r="M98" s="4">
        <v>175.25</v>
      </c>
      <c r="N98" s="5">
        <v>44334</v>
      </c>
      <c r="O98" s="5">
        <v>44510</v>
      </c>
      <c r="P98" s="4" t="s">
        <v>40</v>
      </c>
    </row>
    <row r="99" spans="1:16" x14ac:dyDescent="0.25">
      <c r="A99" s="4" t="s">
        <v>17</v>
      </c>
      <c r="B99" s="5">
        <v>44298</v>
      </c>
      <c r="C99" s="4" t="str">
        <f>"8V00116313"</f>
        <v>8V00116313</v>
      </c>
      <c r="D99" s="4">
        <v>4909254133</v>
      </c>
      <c r="E99" s="5">
        <v>44305</v>
      </c>
      <c r="F99" s="4">
        <v>768</v>
      </c>
      <c r="G99" s="4">
        <v>3564</v>
      </c>
      <c r="H99" s="4" t="s">
        <v>37</v>
      </c>
      <c r="I99" s="4">
        <v>488410010</v>
      </c>
      <c r="J99" s="4" t="s">
        <v>38</v>
      </c>
      <c r="K99" s="4" t="s">
        <v>110</v>
      </c>
      <c r="L99" s="6">
        <v>1002.99</v>
      </c>
      <c r="M99" s="4">
        <v>838.35</v>
      </c>
      <c r="N99" s="5">
        <v>44334</v>
      </c>
      <c r="O99" s="5">
        <v>44557</v>
      </c>
      <c r="P99" s="4" t="s">
        <v>40</v>
      </c>
    </row>
    <row r="100" spans="1:16" x14ac:dyDescent="0.25">
      <c r="A100" s="4" t="s">
        <v>17</v>
      </c>
      <c r="B100" s="5">
        <v>44298</v>
      </c>
      <c r="C100" s="4" t="str">
        <f>"8V00117844"</f>
        <v>8V00117844</v>
      </c>
      <c r="D100" s="4">
        <v>4909254882</v>
      </c>
      <c r="E100" s="5">
        <v>44305</v>
      </c>
      <c r="F100" s="4">
        <v>769</v>
      </c>
      <c r="G100" s="4">
        <v>3564</v>
      </c>
      <c r="H100" s="4" t="s">
        <v>37</v>
      </c>
      <c r="I100" s="4">
        <v>488410010</v>
      </c>
      <c r="J100" s="4" t="s">
        <v>38</v>
      </c>
      <c r="K100" s="4" t="s">
        <v>110</v>
      </c>
      <c r="L100" s="4">
        <v>78.37</v>
      </c>
      <c r="M100" s="4">
        <v>64.239999999999995</v>
      </c>
      <c r="N100" s="5">
        <v>44334</v>
      </c>
      <c r="O100" s="5">
        <v>44510</v>
      </c>
      <c r="P100" s="4" t="s">
        <v>40</v>
      </c>
    </row>
    <row r="101" spans="1:16" x14ac:dyDescent="0.25">
      <c r="A101" s="4" t="s">
        <v>17</v>
      </c>
      <c r="B101" s="5">
        <v>44298</v>
      </c>
      <c r="C101" s="4" t="str">
        <f>"8V00117858"</f>
        <v>8V00117858</v>
      </c>
      <c r="D101" s="4">
        <v>4909546279</v>
      </c>
      <c r="E101" s="5">
        <v>44305</v>
      </c>
      <c r="F101" s="4">
        <v>774</v>
      </c>
      <c r="G101" s="4">
        <v>3564</v>
      </c>
      <c r="H101" s="4" t="s">
        <v>37</v>
      </c>
      <c r="I101" s="4">
        <v>488410010</v>
      </c>
      <c r="J101" s="4" t="s">
        <v>38</v>
      </c>
      <c r="K101" s="4" t="s">
        <v>110</v>
      </c>
      <c r="L101" s="4">
        <v>2.85</v>
      </c>
      <c r="M101" s="4">
        <v>2.34</v>
      </c>
      <c r="N101" s="5">
        <v>44334</v>
      </c>
      <c r="O101" s="5">
        <v>44510</v>
      </c>
      <c r="P101" s="4" t="s">
        <v>40</v>
      </c>
    </row>
    <row r="102" spans="1:16" x14ac:dyDescent="0.25">
      <c r="A102" s="4" t="s">
        <v>17</v>
      </c>
      <c r="B102" s="5">
        <v>44284</v>
      </c>
      <c r="C102" s="4" t="str">
        <f>"124"</f>
        <v>124</v>
      </c>
      <c r="D102" s="4">
        <v>4849388530</v>
      </c>
      <c r="E102" s="5">
        <v>44313</v>
      </c>
      <c r="F102" s="4">
        <v>813</v>
      </c>
      <c r="G102" s="4">
        <v>528</v>
      </c>
      <c r="H102" s="4" t="s">
        <v>64</v>
      </c>
      <c r="I102" s="4" t="s">
        <v>65</v>
      </c>
      <c r="J102" s="4" t="s">
        <v>66</v>
      </c>
      <c r="K102" s="4"/>
      <c r="L102" s="4">
        <v>253.5</v>
      </c>
      <c r="M102" s="4">
        <v>253.5</v>
      </c>
      <c r="N102" s="5">
        <v>44324</v>
      </c>
      <c r="O102" s="4"/>
      <c r="P102" s="4" t="s">
        <v>24</v>
      </c>
    </row>
    <row r="103" spans="1:16" x14ac:dyDescent="0.25">
      <c r="A103" s="4" t="s">
        <v>17</v>
      </c>
      <c r="B103" s="5">
        <v>44280</v>
      </c>
      <c r="C103" s="4" t="str">
        <f>"21"</f>
        <v>21</v>
      </c>
      <c r="D103" s="4">
        <v>4774800742</v>
      </c>
      <c r="E103" s="5">
        <v>44301</v>
      </c>
      <c r="F103" s="4">
        <v>747</v>
      </c>
      <c r="G103" s="4">
        <v>4879</v>
      </c>
      <c r="H103" s="4" t="s">
        <v>111</v>
      </c>
      <c r="I103" s="4" t="s">
        <v>112</v>
      </c>
      <c r="J103" s="4" t="s">
        <v>113</v>
      </c>
      <c r="K103" s="4"/>
      <c r="L103" s="6">
        <v>3695.74</v>
      </c>
      <c r="M103" s="6">
        <v>2531.0300000000002</v>
      </c>
      <c r="N103" s="5">
        <v>44310</v>
      </c>
      <c r="O103" s="5">
        <v>44672</v>
      </c>
      <c r="P103" s="4" t="s">
        <v>24</v>
      </c>
    </row>
    <row r="104" spans="1:16" x14ac:dyDescent="0.25">
      <c r="A104" s="4" t="s">
        <v>17</v>
      </c>
      <c r="B104" s="5">
        <v>44274</v>
      </c>
      <c r="C104" s="4" t="str">
        <f>"0391/2021"</f>
        <v>0391/2021</v>
      </c>
      <c r="D104" s="4">
        <v>4808872976</v>
      </c>
      <c r="E104" s="5">
        <v>44288</v>
      </c>
      <c r="F104" s="4">
        <v>627</v>
      </c>
      <c r="G104" s="4">
        <v>4473</v>
      </c>
      <c r="H104" s="4" t="s">
        <v>114</v>
      </c>
      <c r="I104" s="4"/>
      <c r="J104" s="4" t="s">
        <v>115</v>
      </c>
      <c r="K104" s="4" t="s">
        <v>116</v>
      </c>
      <c r="L104" s="4">
        <v>218.38</v>
      </c>
      <c r="M104" s="4">
        <v>179</v>
      </c>
      <c r="N104" s="5">
        <v>44317</v>
      </c>
      <c r="O104" s="4"/>
      <c r="P104" s="4" t="s">
        <v>20</v>
      </c>
    </row>
    <row r="105" spans="1:16" x14ac:dyDescent="0.25">
      <c r="A105" s="4" t="s">
        <v>17</v>
      </c>
      <c r="B105" s="5">
        <v>44272</v>
      </c>
      <c r="C105" s="4" t="str">
        <f>"FPA8/21"</f>
        <v>FPA8/21</v>
      </c>
      <c r="D105" s="4">
        <v>4732397393</v>
      </c>
      <c r="E105" s="5">
        <v>44288</v>
      </c>
      <c r="F105" s="4">
        <v>628</v>
      </c>
      <c r="G105" s="4">
        <v>262</v>
      </c>
      <c r="H105" s="4" t="s">
        <v>117</v>
      </c>
      <c r="I105" s="4"/>
      <c r="J105" s="4" t="s">
        <v>118</v>
      </c>
      <c r="K105" s="4"/>
      <c r="L105" s="4">
        <v>732</v>
      </c>
      <c r="M105" s="4">
        <v>600</v>
      </c>
      <c r="N105" s="5">
        <v>44302</v>
      </c>
      <c r="O105" s="4"/>
      <c r="P105" s="4" t="s">
        <v>24</v>
      </c>
    </row>
    <row r="106" spans="1:16" x14ac:dyDescent="0.25">
      <c r="A106" s="4" t="s">
        <v>70</v>
      </c>
      <c r="B106" s="5">
        <v>44263</v>
      </c>
      <c r="C106" s="4" t="str">
        <f>"Z-SO-PO 5650012"</f>
        <v>Z-SO-PO 5650012</v>
      </c>
      <c r="D106" s="4">
        <v>4678925030</v>
      </c>
      <c r="E106" s="5">
        <v>44277</v>
      </c>
      <c r="F106" s="4">
        <v>536</v>
      </c>
      <c r="G106" s="4">
        <v>4918</v>
      </c>
      <c r="H106" s="4" t="s">
        <v>119</v>
      </c>
      <c r="I106" s="4">
        <v>6247370155</v>
      </c>
      <c r="J106" s="4" t="s">
        <v>120</v>
      </c>
      <c r="K106" s="4" t="s">
        <v>121</v>
      </c>
      <c r="L106" s="6">
        <v>-2379</v>
      </c>
      <c r="M106" s="6">
        <v>-1950</v>
      </c>
      <c r="N106" s="5">
        <v>44294</v>
      </c>
      <c r="O106" s="4"/>
      <c r="P106" s="4" t="s">
        <v>24</v>
      </c>
    </row>
    <row r="107" spans="1:16" x14ac:dyDescent="0.25">
      <c r="A107" s="4" t="s">
        <v>17</v>
      </c>
      <c r="B107" s="5">
        <v>44256</v>
      </c>
      <c r="C107" s="4" t="str">
        <f>"111"</f>
        <v>111</v>
      </c>
      <c r="D107" s="4">
        <v>4705052812</v>
      </c>
      <c r="E107" s="5">
        <v>44287</v>
      </c>
      <c r="F107" s="4">
        <v>562</v>
      </c>
      <c r="G107" s="4">
        <v>528</v>
      </c>
      <c r="H107" s="4" t="s">
        <v>64</v>
      </c>
      <c r="I107" s="4" t="s">
        <v>65</v>
      </c>
      <c r="J107" s="4" t="s">
        <v>66</v>
      </c>
      <c r="K107" s="4"/>
      <c r="L107" s="4">
        <v>15.26</v>
      </c>
      <c r="M107" s="4">
        <v>15.26</v>
      </c>
      <c r="N107" s="5">
        <v>44297</v>
      </c>
      <c r="O107" s="4"/>
      <c r="P107" s="4" t="s">
        <v>24</v>
      </c>
    </row>
    <row r="108" spans="1:16" x14ac:dyDescent="0.25">
      <c r="A108" s="4" t="s">
        <v>17</v>
      </c>
      <c r="B108" s="5">
        <v>44256</v>
      </c>
      <c r="C108" s="4" t="str">
        <f>"112"</f>
        <v>112</v>
      </c>
      <c r="D108" s="4">
        <v>4705853581</v>
      </c>
      <c r="E108" s="5">
        <v>44287</v>
      </c>
      <c r="F108" s="4">
        <v>566</v>
      </c>
      <c r="G108" s="4">
        <v>528</v>
      </c>
      <c r="H108" s="4" t="s">
        <v>64</v>
      </c>
      <c r="I108" s="4" t="s">
        <v>65</v>
      </c>
      <c r="J108" s="4" t="s">
        <v>66</v>
      </c>
      <c r="K108" s="4"/>
      <c r="L108" s="4">
        <v>468.77</v>
      </c>
      <c r="M108" s="4">
        <v>468.77</v>
      </c>
      <c r="N108" s="5">
        <v>44297</v>
      </c>
      <c r="O108" s="4"/>
      <c r="P108" s="4" t="s">
        <v>24</v>
      </c>
    </row>
    <row r="109" spans="1:16" x14ac:dyDescent="0.25">
      <c r="A109" s="4" t="s">
        <v>17</v>
      </c>
      <c r="B109" s="5">
        <v>44256</v>
      </c>
      <c r="C109" s="4" t="str">
        <f>"113"</f>
        <v>113</v>
      </c>
      <c r="D109" s="4">
        <v>4705883577</v>
      </c>
      <c r="E109" s="5">
        <v>44287</v>
      </c>
      <c r="F109" s="4">
        <v>568</v>
      </c>
      <c r="G109" s="4">
        <v>528</v>
      </c>
      <c r="H109" s="4" t="s">
        <v>64</v>
      </c>
      <c r="I109" s="4" t="s">
        <v>65</v>
      </c>
      <c r="J109" s="4" t="s">
        <v>66</v>
      </c>
      <c r="K109" s="4"/>
      <c r="L109" s="4">
        <v>806.09</v>
      </c>
      <c r="M109" s="4">
        <v>806.09</v>
      </c>
      <c r="N109" s="5">
        <v>44297</v>
      </c>
      <c r="O109" s="4"/>
      <c r="P109" s="4" t="s">
        <v>24</v>
      </c>
    </row>
    <row r="110" spans="1:16" x14ac:dyDescent="0.25">
      <c r="A110" s="4" t="s">
        <v>17</v>
      </c>
      <c r="B110" s="5">
        <v>44256</v>
      </c>
      <c r="C110" s="4" t="str">
        <f>"114"</f>
        <v>114</v>
      </c>
      <c r="D110" s="4">
        <v>4705896942</v>
      </c>
      <c r="E110" s="5">
        <v>44287</v>
      </c>
      <c r="F110" s="4">
        <v>569</v>
      </c>
      <c r="G110" s="4">
        <v>528</v>
      </c>
      <c r="H110" s="4" t="s">
        <v>64</v>
      </c>
      <c r="I110" s="4" t="s">
        <v>65</v>
      </c>
      <c r="J110" s="4" t="s">
        <v>66</v>
      </c>
      <c r="K110" s="4"/>
      <c r="L110" s="4">
        <v>613.86</v>
      </c>
      <c r="M110" s="4">
        <v>613.86</v>
      </c>
      <c r="N110" s="5">
        <v>44297</v>
      </c>
      <c r="O110" s="4"/>
      <c r="P110" s="4" t="s">
        <v>24</v>
      </c>
    </row>
    <row r="111" spans="1:16" x14ac:dyDescent="0.25">
      <c r="A111" s="4" t="s">
        <v>17</v>
      </c>
      <c r="B111" s="5">
        <v>44256</v>
      </c>
      <c r="C111" s="4" t="str">
        <f>"115"</f>
        <v>115</v>
      </c>
      <c r="D111" s="4">
        <v>4705924461</v>
      </c>
      <c r="E111" s="5">
        <v>44287</v>
      </c>
      <c r="F111" s="4">
        <v>570</v>
      </c>
      <c r="G111" s="4">
        <v>528</v>
      </c>
      <c r="H111" s="4" t="s">
        <v>64</v>
      </c>
      <c r="I111" s="4" t="s">
        <v>65</v>
      </c>
      <c r="J111" s="4" t="s">
        <v>66</v>
      </c>
      <c r="K111" s="4"/>
      <c r="L111" s="4">
        <v>368</v>
      </c>
      <c r="M111" s="4">
        <v>368</v>
      </c>
      <c r="N111" s="5">
        <v>44297</v>
      </c>
      <c r="O111" s="4"/>
      <c r="P111" s="4" t="s">
        <v>24</v>
      </c>
    </row>
    <row r="112" spans="1:16" x14ac:dyDescent="0.25">
      <c r="A112" s="4" t="s">
        <v>17</v>
      </c>
      <c r="B112" s="5">
        <v>44256</v>
      </c>
      <c r="C112" s="4" t="str">
        <f>"116"</f>
        <v>116</v>
      </c>
      <c r="D112" s="4">
        <v>4705938652</v>
      </c>
      <c r="E112" s="5">
        <v>44287</v>
      </c>
      <c r="F112" s="4">
        <v>567</v>
      </c>
      <c r="G112" s="4">
        <v>528</v>
      </c>
      <c r="H112" s="4" t="s">
        <v>64</v>
      </c>
      <c r="I112" s="4" t="s">
        <v>65</v>
      </c>
      <c r="J112" s="4" t="s">
        <v>66</v>
      </c>
      <c r="K112" s="4"/>
      <c r="L112" s="4">
        <v>259.81</v>
      </c>
      <c r="M112" s="4">
        <v>259.81</v>
      </c>
      <c r="N112" s="5">
        <v>44297</v>
      </c>
      <c r="O112" s="4"/>
      <c r="P112" s="4" t="s">
        <v>24</v>
      </c>
    </row>
    <row r="113" spans="1:16" x14ac:dyDescent="0.25">
      <c r="A113" s="4" t="s">
        <v>17</v>
      </c>
      <c r="B113" s="5">
        <v>44256</v>
      </c>
      <c r="C113" s="4" t="str">
        <f>"117"</f>
        <v>117</v>
      </c>
      <c r="D113" s="4">
        <v>4705958969</v>
      </c>
      <c r="E113" s="5">
        <v>44287</v>
      </c>
      <c r="F113" s="4">
        <v>571</v>
      </c>
      <c r="G113" s="4">
        <v>528</v>
      </c>
      <c r="H113" s="4" t="s">
        <v>64</v>
      </c>
      <c r="I113" s="4" t="s">
        <v>65</v>
      </c>
      <c r="J113" s="4" t="s">
        <v>66</v>
      </c>
      <c r="K113" s="4"/>
      <c r="L113" s="4">
        <v>64.81</v>
      </c>
      <c r="M113" s="4">
        <v>64.81</v>
      </c>
      <c r="N113" s="5">
        <v>44297</v>
      </c>
      <c r="O113" s="4"/>
      <c r="P113" s="4" t="s">
        <v>24</v>
      </c>
    </row>
    <row r="114" spans="1:16" x14ac:dyDescent="0.25">
      <c r="A114" s="4" t="s">
        <v>17</v>
      </c>
      <c r="B114" s="5">
        <v>44256</v>
      </c>
      <c r="C114" s="4" t="str">
        <f>"118"</f>
        <v>118</v>
      </c>
      <c r="D114" s="4">
        <v>4706008866</v>
      </c>
      <c r="E114" s="5">
        <v>44287</v>
      </c>
      <c r="F114" s="4">
        <v>572</v>
      </c>
      <c r="G114" s="4">
        <v>528</v>
      </c>
      <c r="H114" s="4" t="s">
        <v>64</v>
      </c>
      <c r="I114" s="4" t="s">
        <v>65</v>
      </c>
      <c r="J114" s="4" t="s">
        <v>66</v>
      </c>
      <c r="K114" s="4"/>
      <c r="L114" s="4">
        <v>13.62</v>
      </c>
      <c r="M114" s="4">
        <v>13.62</v>
      </c>
      <c r="N114" s="5">
        <v>44297</v>
      </c>
      <c r="O114" s="4"/>
      <c r="P114" s="4" t="s">
        <v>24</v>
      </c>
    </row>
    <row r="115" spans="1:16" x14ac:dyDescent="0.25">
      <c r="A115" s="4" t="s">
        <v>17</v>
      </c>
      <c r="B115" s="5">
        <v>44256</v>
      </c>
      <c r="C115" s="4" t="str">
        <f>"119"</f>
        <v>119</v>
      </c>
      <c r="D115" s="4">
        <v>4706008874</v>
      </c>
      <c r="E115" s="5">
        <v>44287</v>
      </c>
      <c r="F115" s="4">
        <v>573</v>
      </c>
      <c r="G115" s="4">
        <v>528</v>
      </c>
      <c r="H115" s="4" t="s">
        <v>64</v>
      </c>
      <c r="I115" s="4" t="s">
        <v>65</v>
      </c>
      <c r="J115" s="4" t="s">
        <v>66</v>
      </c>
      <c r="K115" s="4"/>
      <c r="L115" s="4">
        <v>32.85</v>
      </c>
      <c r="M115" s="4">
        <v>32.85</v>
      </c>
      <c r="N115" s="5">
        <v>44297</v>
      </c>
      <c r="O115" s="4"/>
      <c r="P115" s="4" t="s">
        <v>24</v>
      </c>
    </row>
    <row r="116" spans="1:16" x14ac:dyDescent="0.25">
      <c r="A116" s="4" t="s">
        <v>17</v>
      </c>
      <c r="B116" s="5">
        <v>44255</v>
      </c>
      <c r="C116" s="4" t="str">
        <f>"0001113367"</f>
        <v>0001113367</v>
      </c>
      <c r="D116" s="4">
        <v>4701450765</v>
      </c>
      <c r="E116" s="5">
        <v>44277</v>
      </c>
      <c r="F116" s="4">
        <v>533</v>
      </c>
      <c r="G116" s="4">
        <v>323</v>
      </c>
      <c r="H116" s="4" t="s">
        <v>122</v>
      </c>
      <c r="I116" s="4">
        <v>6188330150</v>
      </c>
      <c r="J116" s="4" t="s">
        <v>123</v>
      </c>
      <c r="K116" s="4" t="s">
        <v>124</v>
      </c>
      <c r="L116" s="4">
        <v>500</v>
      </c>
      <c r="M116" s="4">
        <v>500</v>
      </c>
      <c r="N116" s="5">
        <v>44297</v>
      </c>
      <c r="O116" s="4"/>
      <c r="P116" s="4" t="s">
        <v>91</v>
      </c>
    </row>
    <row r="117" spans="1:16" x14ac:dyDescent="0.25">
      <c r="A117" s="4" t="s">
        <v>17</v>
      </c>
      <c r="B117" s="5">
        <v>44243</v>
      </c>
      <c r="C117" s="4" t="str">
        <f>"6820210216000662"</f>
        <v>6820210216000662</v>
      </c>
      <c r="D117" s="4">
        <v>4569255701</v>
      </c>
      <c r="E117" s="5">
        <v>44246</v>
      </c>
      <c r="F117" s="4">
        <v>368</v>
      </c>
      <c r="G117" s="4">
        <v>3564</v>
      </c>
      <c r="H117" s="4" t="s">
        <v>37</v>
      </c>
      <c r="I117" s="4">
        <v>488410010</v>
      </c>
      <c r="J117" s="4" t="s">
        <v>38</v>
      </c>
      <c r="K117" s="4" t="s">
        <v>125</v>
      </c>
      <c r="L117" s="4">
        <v>292.8</v>
      </c>
      <c r="M117" s="4">
        <v>240</v>
      </c>
      <c r="N117" s="5">
        <v>44274</v>
      </c>
      <c r="O117" s="4"/>
      <c r="P117" s="4" t="s">
        <v>40</v>
      </c>
    </row>
    <row r="118" spans="1:16" x14ac:dyDescent="0.25">
      <c r="A118" s="4" t="s">
        <v>17</v>
      </c>
      <c r="B118" s="5">
        <v>44225</v>
      </c>
      <c r="C118" s="4" t="str">
        <f>"0156/2021"</f>
        <v>0156/2021</v>
      </c>
      <c r="D118" s="4">
        <v>4649685657</v>
      </c>
      <c r="E118" s="5">
        <v>44260</v>
      </c>
      <c r="F118" s="4">
        <v>407</v>
      </c>
      <c r="G118" s="4">
        <v>4473</v>
      </c>
      <c r="H118" s="4" t="s">
        <v>114</v>
      </c>
      <c r="I118" s="4"/>
      <c r="J118" s="4" t="s">
        <v>115</v>
      </c>
      <c r="K118" s="4" t="s">
        <v>116</v>
      </c>
      <c r="L118" s="4">
        <v>233.02</v>
      </c>
      <c r="M118" s="4">
        <v>191</v>
      </c>
      <c r="N118" s="5">
        <v>44289</v>
      </c>
      <c r="O118" s="4"/>
      <c r="P118" s="4" t="s">
        <v>40</v>
      </c>
    </row>
    <row r="119" spans="1:16" x14ac:dyDescent="0.25">
      <c r="A119" s="4" t="s">
        <v>70</v>
      </c>
      <c r="B119" s="5">
        <v>44210</v>
      </c>
      <c r="C119" s="4" t="str">
        <f>"1"</f>
        <v>1</v>
      </c>
      <c r="D119" s="4">
        <v>4369576154</v>
      </c>
      <c r="E119" s="5">
        <v>44228</v>
      </c>
      <c r="F119" s="4">
        <v>257</v>
      </c>
      <c r="G119" s="4">
        <v>4800</v>
      </c>
      <c r="H119" s="4" t="s">
        <v>126</v>
      </c>
      <c r="I119" s="4">
        <v>2159670799</v>
      </c>
      <c r="J119" s="4" t="s">
        <v>127</v>
      </c>
      <c r="K119" s="4" t="s">
        <v>128</v>
      </c>
      <c r="L119" s="6">
        <v>-8037.36</v>
      </c>
      <c r="M119" s="6">
        <v>-6588</v>
      </c>
      <c r="N119" s="5">
        <v>44240</v>
      </c>
      <c r="O119" s="4"/>
      <c r="P119" s="4" t="s">
        <v>24</v>
      </c>
    </row>
    <row r="120" spans="1:16" x14ac:dyDescent="0.25">
      <c r="A120" s="4" t="s">
        <v>17</v>
      </c>
      <c r="B120" s="5">
        <v>44203</v>
      </c>
      <c r="C120" s="4" t="str">
        <f>"16"</f>
        <v>16</v>
      </c>
      <c r="D120" s="4">
        <v>4328229371</v>
      </c>
      <c r="E120" s="5">
        <v>44215</v>
      </c>
      <c r="F120" s="4">
        <v>78</v>
      </c>
      <c r="G120" s="4">
        <v>4256</v>
      </c>
      <c r="H120" s="4" t="s">
        <v>129</v>
      </c>
      <c r="I120" s="4">
        <v>3882030822</v>
      </c>
      <c r="J120" s="4" t="s">
        <v>130</v>
      </c>
      <c r="K120" s="4" t="s">
        <v>131</v>
      </c>
      <c r="L120" s="6">
        <v>2754.42</v>
      </c>
      <c r="M120" s="6">
        <v>2750.75</v>
      </c>
      <c r="N120" s="5">
        <v>44233</v>
      </c>
      <c r="O120" s="4"/>
      <c r="P120" s="4" t="s">
        <v>20</v>
      </c>
    </row>
    <row r="121" spans="1:16" x14ac:dyDescent="0.25">
      <c r="A121" s="4" t="s">
        <v>17</v>
      </c>
      <c r="B121" s="5">
        <v>44194</v>
      </c>
      <c r="C121" s="4" t="str">
        <f>"1020020200000003900"</f>
        <v>1020020200000003900</v>
      </c>
      <c r="D121" s="4">
        <v>4362616491</v>
      </c>
      <c r="E121" s="5">
        <v>44215</v>
      </c>
      <c r="F121" s="4">
        <v>87</v>
      </c>
      <c r="G121" s="4">
        <v>66</v>
      </c>
      <c r="H121" s="4" t="s">
        <v>95</v>
      </c>
      <c r="I121" s="4">
        <v>247990815</v>
      </c>
      <c r="J121" s="4" t="s">
        <v>96</v>
      </c>
      <c r="K121" s="4" t="s">
        <v>97</v>
      </c>
      <c r="L121" s="6">
        <v>7557.22</v>
      </c>
      <c r="M121" s="6">
        <v>6870.2</v>
      </c>
      <c r="N121" s="5">
        <v>44239</v>
      </c>
      <c r="O121" s="4"/>
      <c r="P121" s="4" t="s">
        <v>24</v>
      </c>
    </row>
    <row r="122" spans="1:16" x14ac:dyDescent="0.25">
      <c r="A122" s="4" t="s">
        <v>17</v>
      </c>
      <c r="B122" s="5">
        <v>44194</v>
      </c>
      <c r="C122" s="4" t="str">
        <f>"1020020200000004600"</f>
        <v>1020020200000004600</v>
      </c>
      <c r="D122" s="4">
        <v>4362617598</v>
      </c>
      <c r="E122" s="5">
        <v>44215</v>
      </c>
      <c r="F122" s="4">
        <v>86</v>
      </c>
      <c r="G122" s="4">
        <v>66</v>
      </c>
      <c r="H122" s="4" t="s">
        <v>95</v>
      </c>
      <c r="I122" s="4">
        <v>247990815</v>
      </c>
      <c r="J122" s="4" t="s">
        <v>96</v>
      </c>
      <c r="K122" s="4" t="s">
        <v>97</v>
      </c>
      <c r="L122" s="4">
        <v>90.22</v>
      </c>
      <c r="M122" s="4">
        <v>82.02</v>
      </c>
      <c r="N122" s="5">
        <v>44239</v>
      </c>
      <c r="O122" s="5">
        <v>44796</v>
      </c>
      <c r="P122" s="4" t="s">
        <v>24</v>
      </c>
    </row>
    <row r="123" spans="1:16" x14ac:dyDescent="0.25">
      <c r="A123" s="4" t="s">
        <v>17</v>
      </c>
      <c r="B123" s="5">
        <v>44194</v>
      </c>
      <c r="C123" s="4" t="str">
        <f>"63"</f>
        <v>63</v>
      </c>
      <c r="D123" s="4">
        <v>4287302308</v>
      </c>
      <c r="E123" s="5">
        <v>44215</v>
      </c>
      <c r="F123" s="4">
        <v>67</v>
      </c>
      <c r="G123" s="4">
        <v>4800</v>
      </c>
      <c r="H123" s="4" t="s">
        <v>126</v>
      </c>
      <c r="I123" s="4">
        <v>2159670799</v>
      </c>
      <c r="J123" s="4" t="s">
        <v>127</v>
      </c>
      <c r="K123" s="4" t="s">
        <v>128</v>
      </c>
      <c r="L123" s="6">
        <v>8037.36</v>
      </c>
      <c r="M123" s="6">
        <v>6588</v>
      </c>
      <c r="N123" s="5">
        <v>44224</v>
      </c>
      <c r="O123" s="4"/>
      <c r="P123" s="4" t="s">
        <v>24</v>
      </c>
    </row>
    <row r="124" spans="1:16" x14ac:dyDescent="0.25">
      <c r="A124" s="4" t="s">
        <v>17</v>
      </c>
      <c r="B124" s="5">
        <v>44183</v>
      </c>
      <c r="C124" s="4" t="str">
        <f>"1/PA"</f>
        <v>1/PA</v>
      </c>
      <c r="D124" s="4">
        <v>4235362586</v>
      </c>
      <c r="E124" s="5">
        <v>44215</v>
      </c>
      <c r="F124" s="4">
        <v>66</v>
      </c>
      <c r="G124" s="4">
        <v>1846</v>
      </c>
      <c r="H124" s="4" t="s">
        <v>132</v>
      </c>
      <c r="I124" s="4" t="s">
        <v>133</v>
      </c>
      <c r="J124" s="4" t="s">
        <v>134</v>
      </c>
      <c r="K124" s="4" t="s">
        <v>135</v>
      </c>
      <c r="L124" s="6">
        <v>1100</v>
      </c>
      <c r="M124" s="6">
        <v>1000</v>
      </c>
      <c r="N124" s="5">
        <v>44213</v>
      </c>
      <c r="O124" s="4"/>
      <c r="P124" s="4" t="s">
        <v>24</v>
      </c>
    </row>
    <row r="125" spans="1:16" x14ac:dyDescent="0.25">
      <c r="A125" s="4" t="s">
        <v>17</v>
      </c>
      <c r="B125" s="5">
        <v>44182</v>
      </c>
      <c r="C125" s="4" t="str">
        <f>"1020020200000001200"</f>
        <v>1020020200000001200</v>
      </c>
      <c r="D125" s="4">
        <v>4263466906</v>
      </c>
      <c r="E125" s="5">
        <v>44215</v>
      </c>
      <c r="F125" s="4">
        <v>94</v>
      </c>
      <c r="G125" s="4">
        <v>66</v>
      </c>
      <c r="H125" s="4" t="s">
        <v>95</v>
      </c>
      <c r="I125" s="4">
        <v>247990815</v>
      </c>
      <c r="J125" s="4" t="s">
        <v>96</v>
      </c>
      <c r="K125" s="4" t="s">
        <v>97</v>
      </c>
      <c r="L125" s="4">
        <v>531.65</v>
      </c>
      <c r="M125" s="4">
        <v>483.32</v>
      </c>
      <c r="N125" s="5">
        <v>44218</v>
      </c>
      <c r="O125" s="5">
        <v>44796</v>
      </c>
      <c r="P125" s="4" t="s">
        <v>24</v>
      </c>
    </row>
    <row r="126" spans="1:16" x14ac:dyDescent="0.25">
      <c r="A126" s="4" t="s">
        <v>17</v>
      </c>
      <c r="B126" s="5">
        <v>44151</v>
      </c>
      <c r="C126" s="4" t="str">
        <f>"113-2020-REV-FE"</f>
        <v>113-2020-REV-FE</v>
      </c>
      <c r="D126" s="4">
        <v>4252504891</v>
      </c>
      <c r="E126" s="5">
        <v>44193</v>
      </c>
      <c r="F126" s="4">
        <v>2202</v>
      </c>
      <c r="G126" s="4">
        <v>4077</v>
      </c>
      <c r="H126" s="4" t="s">
        <v>136</v>
      </c>
      <c r="I126" s="4"/>
      <c r="J126" s="4" t="s">
        <v>137</v>
      </c>
      <c r="K126" s="4" t="s">
        <v>138</v>
      </c>
      <c r="L126" s="4">
        <v>66.88</v>
      </c>
      <c r="M126" s="4">
        <v>66.88</v>
      </c>
      <c r="N126" s="5">
        <v>44217</v>
      </c>
      <c r="O126" s="4"/>
      <c r="P126" s="4" t="s">
        <v>40</v>
      </c>
    </row>
    <row r="127" spans="1:16" x14ac:dyDescent="0.25">
      <c r="A127" s="4" t="s">
        <v>17</v>
      </c>
      <c r="B127" s="5">
        <v>44119</v>
      </c>
      <c r="C127" s="4" t="str">
        <f>"2020 39/S"</f>
        <v>2020 39/S</v>
      </c>
      <c r="D127" s="4">
        <v>3852499080</v>
      </c>
      <c r="E127" s="5">
        <v>44474</v>
      </c>
      <c r="F127" s="4">
        <v>1944</v>
      </c>
      <c r="G127" s="4">
        <v>5049</v>
      </c>
      <c r="H127" s="4" t="s">
        <v>139</v>
      </c>
      <c r="I127" s="4">
        <v>2371850815</v>
      </c>
      <c r="J127" s="4" t="s">
        <v>140</v>
      </c>
      <c r="K127" s="4"/>
      <c r="L127" s="6">
        <v>13488.32</v>
      </c>
      <c r="M127" s="6">
        <v>3685.1</v>
      </c>
      <c r="N127" s="5">
        <v>44149</v>
      </c>
      <c r="O127" s="5">
        <v>44558</v>
      </c>
      <c r="P127" s="4" t="s">
        <v>24</v>
      </c>
    </row>
    <row r="128" spans="1:16" x14ac:dyDescent="0.25">
      <c r="A128" s="4" t="s">
        <v>17</v>
      </c>
      <c r="B128" s="5">
        <v>44119</v>
      </c>
      <c r="C128" s="4" t="str">
        <f>"2020 39/S"</f>
        <v>2020 39/S</v>
      </c>
      <c r="D128" s="4">
        <v>3852499080</v>
      </c>
      <c r="E128" s="5">
        <v>44474</v>
      </c>
      <c r="F128" s="4">
        <v>1944</v>
      </c>
      <c r="G128" s="4">
        <v>5049</v>
      </c>
      <c r="H128" s="4" t="s">
        <v>139</v>
      </c>
      <c r="I128" s="4">
        <v>2371850815</v>
      </c>
      <c r="J128" s="4" t="s">
        <v>140</v>
      </c>
      <c r="K128" s="4"/>
      <c r="L128" s="6">
        <v>13488.32</v>
      </c>
      <c r="M128" s="6">
        <v>7370.9</v>
      </c>
      <c r="N128" s="5">
        <v>44149</v>
      </c>
      <c r="O128" s="5">
        <v>44476</v>
      </c>
      <c r="P128" s="4" t="s">
        <v>24</v>
      </c>
    </row>
    <row r="129" spans="1:16" x14ac:dyDescent="0.25">
      <c r="A129" s="4" t="s">
        <v>17</v>
      </c>
      <c r="B129" s="5">
        <v>44113</v>
      </c>
      <c r="C129" s="4" t="str">
        <f>"1588/2020"</f>
        <v>1588/2020</v>
      </c>
      <c r="D129" s="4">
        <v>3884064850</v>
      </c>
      <c r="E129" s="5">
        <v>44130</v>
      </c>
      <c r="F129" s="4">
        <v>1801</v>
      </c>
      <c r="G129" s="4">
        <v>4473</v>
      </c>
      <c r="H129" s="4" t="s">
        <v>114</v>
      </c>
      <c r="I129" s="4"/>
      <c r="J129" s="4" t="s">
        <v>115</v>
      </c>
      <c r="K129" s="4" t="s">
        <v>116</v>
      </c>
      <c r="L129" s="4">
        <v>218.38</v>
      </c>
      <c r="M129" s="4">
        <v>179</v>
      </c>
      <c r="N129" s="5">
        <v>44155</v>
      </c>
      <c r="O129" s="4"/>
      <c r="P129" s="4" t="s">
        <v>40</v>
      </c>
    </row>
    <row r="130" spans="1:16" x14ac:dyDescent="0.25">
      <c r="A130" s="4" t="s">
        <v>17</v>
      </c>
      <c r="B130" s="5">
        <v>44071</v>
      </c>
      <c r="C130" s="4" t="str">
        <f>"1351/2020"</f>
        <v>1351/2020</v>
      </c>
      <c r="D130" s="4">
        <v>3588187420</v>
      </c>
      <c r="E130" s="5">
        <v>44081</v>
      </c>
      <c r="F130" s="4">
        <v>1453</v>
      </c>
      <c r="G130" s="4">
        <v>4473</v>
      </c>
      <c r="H130" s="4" t="s">
        <v>114</v>
      </c>
      <c r="I130" s="4"/>
      <c r="J130" s="4" t="s">
        <v>115</v>
      </c>
      <c r="K130" s="4" t="s">
        <v>116</v>
      </c>
      <c r="L130" s="4">
        <v>203.74</v>
      </c>
      <c r="M130" s="4">
        <v>167</v>
      </c>
      <c r="N130" s="5">
        <v>44107</v>
      </c>
      <c r="O130" s="4"/>
      <c r="P130" s="4" t="s">
        <v>40</v>
      </c>
    </row>
    <row r="131" spans="1:16" x14ac:dyDescent="0.25">
      <c r="A131" s="4" t="s">
        <v>17</v>
      </c>
      <c r="B131" s="5">
        <v>44056</v>
      </c>
      <c r="C131" s="4" t="str">
        <f>"1/20"</f>
        <v>1/20</v>
      </c>
      <c r="D131" s="4">
        <v>3495240353</v>
      </c>
      <c r="E131" s="5">
        <v>44074</v>
      </c>
      <c r="F131" s="4">
        <v>1436</v>
      </c>
      <c r="G131" s="4">
        <v>4114</v>
      </c>
      <c r="H131" s="4" t="s">
        <v>141</v>
      </c>
      <c r="I131" s="4"/>
      <c r="J131" s="4" t="s">
        <v>142</v>
      </c>
      <c r="K131" s="4"/>
      <c r="L131" s="4">
        <v>548.03</v>
      </c>
      <c r="M131" s="4">
        <v>548.03</v>
      </c>
      <c r="N131" s="5">
        <v>44086</v>
      </c>
      <c r="O131" s="4"/>
      <c r="P131" s="4" t="s">
        <v>24</v>
      </c>
    </row>
    <row r="132" spans="1:16" x14ac:dyDescent="0.25">
      <c r="A132" s="4" t="s">
        <v>17</v>
      </c>
      <c r="B132" s="5">
        <v>44056</v>
      </c>
      <c r="C132" s="4" t="str">
        <f>"FATTPA 10_20"</f>
        <v>FATTPA 10_20</v>
      </c>
      <c r="D132" s="4">
        <v>3496532721</v>
      </c>
      <c r="E132" s="5">
        <v>44074</v>
      </c>
      <c r="F132" s="4">
        <v>1433</v>
      </c>
      <c r="G132" s="4">
        <v>4681</v>
      </c>
      <c r="H132" s="4" t="s">
        <v>143</v>
      </c>
      <c r="I132" s="4" t="s">
        <v>144</v>
      </c>
      <c r="J132" s="4"/>
      <c r="K132" s="4" t="s">
        <v>145</v>
      </c>
      <c r="L132" s="4">
        <v>205.8</v>
      </c>
      <c r="M132" s="4">
        <v>187.09</v>
      </c>
      <c r="N132" s="5">
        <v>44086</v>
      </c>
      <c r="O132" s="4"/>
      <c r="P132" s="4" t="s">
        <v>24</v>
      </c>
    </row>
    <row r="133" spans="1:16" x14ac:dyDescent="0.25">
      <c r="A133" s="4" t="s">
        <v>17</v>
      </c>
      <c r="B133" s="5">
        <v>44056</v>
      </c>
      <c r="C133" s="4" t="str">
        <f>"FATTPA 11_20"</f>
        <v>FATTPA 11_20</v>
      </c>
      <c r="D133" s="4">
        <v>3496542605</v>
      </c>
      <c r="E133" s="5">
        <v>44074</v>
      </c>
      <c r="F133" s="4">
        <v>1425</v>
      </c>
      <c r="G133" s="4">
        <v>4681</v>
      </c>
      <c r="H133" s="4" t="s">
        <v>143</v>
      </c>
      <c r="I133" s="4" t="s">
        <v>144</v>
      </c>
      <c r="J133" s="4"/>
      <c r="K133" s="4" t="s">
        <v>145</v>
      </c>
      <c r="L133" s="4">
        <v>630.21</v>
      </c>
      <c r="M133" s="4">
        <v>572.91999999999996</v>
      </c>
      <c r="N133" s="5">
        <v>44086</v>
      </c>
      <c r="O133" s="4"/>
      <c r="P133" s="4" t="s">
        <v>24</v>
      </c>
    </row>
    <row r="134" spans="1:16" x14ac:dyDescent="0.25">
      <c r="A134" s="4" t="s">
        <v>17</v>
      </c>
      <c r="B134" s="5">
        <v>44056</v>
      </c>
      <c r="C134" s="4" t="str">
        <f>"FATTPA 3_20"</f>
        <v>FATTPA 3_20</v>
      </c>
      <c r="D134" s="4">
        <v>3496454165</v>
      </c>
      <c r="E134" s="5">
        <v>44074</v>
      </c>
      <c r="F134" s="4">
        <v>1427</v>
      </c>
      <c r="G134" s="4">
        <v>4681</v>
      </c>
      <c r="H134" s="4" t="s">
        <v>143</v>
      </c>
      <c r="I134" s="4" t="s">
        <v>144</v>
      </c>
      <c r="J134" s="4"/>
      <c r="K134" s="4" t="s">
        <v>145</v>
      </c>
      <c r="L134" s="4">
        <v>271.95</v>
      </c>
      <c r="M134" s="4">
        <v>247.23</v>
      </c>
      <c r="N134" s="5">
        <v>44086</v>
      </c>
      <c r="O134" s="4"/>
      <c r="P134" s="4" t="s">
        <v>24</v>
      </c>
    </row>
    <row r="135" spans="1:16" x14ac:dyDescent="0.25">
      <c r="A135" s="4" t="s">
        <v>17</v>
      </c>
      <c r="B135" s="5">
        <v>44056</v>
      </c>
      <c r="C135" s="4" t="str">
        <f>"FATTPA 4_20"</f>
        <v>FATTPA 4_20</v>
      </c>
      <c r="D135" s="4">
        <v>3496461998</v>
      </c>
      <c r="E135" s="5">
        <v>44074</v>
      </c>
      <c r="F135" s="4">
        <v>1428</v>
      </c>
      <c r="G135" s="4">
        <v>4681</v>
      </c>
      <c r="H135" s="4" t="s">
        <v>143</v>
      </c>
      <c r="I135" s="4" t="s">
        <v>144</v>
      </c>
      <c r="J135" s="4"/>
      <c r="K135" s="4" t="s">
        <v>145</v>
      </c>
      <c r="L135" s="4">
        <v>174.06</v>
      </c>
      <c r="M135" s="4">
        <v>158.24</v>
      </c>
      <c r="N135" s="5">
        <v>44086</v>
      </c>
      <c r="O135" s="4"/>
      <c r="P135" s="4" t="s">
        <v>24</v>
      </c>
    </row>
    <row r="136" spans="1:16" x14ac:dyDescent="0.25">
      <c r="A136" s="4" t="s">
        <v>17</v>
      </c>
      <c r="B136" s="5">
        <v>44056</v>
      </c>
      <c r="C136" s="4" t="str">
        <f>"FATTPA 5_20"</f>
        <v>FATTPA 5_20</v>
      </c>
      <c r="D136" s="4">
        <v>3496469863</v>
      </c>
      <c r="E136" s="5">
        <v>44074</v>
      </c>
      <c r="F136" s="4">
        <v>1429</v>
      </c>
      <c r="G136" s="4">
        <v>4681</v>
      </c>
      <c r="H136" s="4" t="s">
        <v>143</v>
      </c>
      <c r="I136" s="4" t="s">
        <v>144</v>
      </c>
      <c r="J136" s="4"/>
      <c r="K136" s="4" t="s">
        <v>145</v>
      </c>
      <c r="L136" s="4">
        <v>46.24</v>
      </c>
      <c r="M136" s="4">
        <v>42.04</v>
      </c>
      <c r="N136" s="5">
        <v>44086</v>
      </c>
      <c r="O136" s="4"/>
      <c r="P136" s="4" t="s">
        <v>24</v>
      </c>
    </row>
    <row r="137" spans="1:16" x14ac:dyDescent="0.25">
      <c r="A137" s="4" t="s">
        <v>17</v>
      </c>
      <c r="B137" s="5">
        <v>44056</v>
      </c>
      <c r="C137" s="4" t="str">
        <f>"FATTPA 6_20"</f>
        <v>FATTPA 6_20</v>
      </c>
      <c r="D137" s="4">
        <v>3496483170</v>
      </c>
      <c r="E137" s="5">
        <v>44074</v>
      </c>
      <c r="F137" s="4">
        <v>1430</v>
      </c>
      <c r="G137" s="4">
        <v>4681</v>
      </c>
      <c r="H137" s="4" t="s">
        <v>143</v>
      </c>
      <c r="I137" s="4" t="s">
        <v>144</v>
      </c>
      <c r="J137" s="4"/>
      <c r="K137" s="4" t="s">
        <v>145</v>
      </c>
      <c r="L137" s="4">
        <v>171.93</v>
      </c>
      <c r="M137" s="4">
        <v>156.30000000000001</v>
      </c>
      <c r="N137" s="5">
        <v>44086</v>
      </c>
      <c r="O137" s="4"/>
      <c r="P137" s="4" t="s">
        <v>24</v>
      </c>
    </row>
    <row r="138" spans="1:16" x14ac:dyDescent="0.25">
      <c r="A138" s="4" t="s">
        <v>17</v>
      </c>
      <c r="B138" s="5">
        <v>44056</v>
      </c>
      <c r="C138" s="4" t="str">
        <f>"FATTPA 7_20"</f>
        <v>FATTPA 7_20</v>
      </c>
      <c r="D138" s="4">
        <v>3496505516</v>
      </c>
      <c r="E138" s="5">
        <v>44074</v>
      </c>
      <c r="F138" s="4">
        <v>1431</v>
      </c>
      <c r="G138" s="4">
        <v>4681</v>
      </c>
      <c r="H138" s="4" t="s">
        <v>143</v>
      </c>
      <c r="I138" s="4" t="s">
        <v>144</v>
      </c>
      <c r="J138" s="4"/>
      <c r="K138" s="4" t="s">
        <v>145</v>
      </c>
      <c r="L138" s="4">
        <v>116.17</v>
      </c>
      <c r="M138" s="4">
        <v>105.61</v>
      </c>
      <c r="N138" s="5">
        <v>44086</v>
      </c>
      <c r="O138" s="4"/>
      <c r="P138" s="4" t="s">
        <v>24</v>
      </c>
    </row>
    <row r="139" spans="1:16" x14ac:dyDescent="0.25">
      <c r="A139" s="4" t="s">
        <v>17</v>
      </c>
      <c r="B139" s="5">
        <v>44056</v>
      </c>
      <c r="C139" s="4" t="str">
        <f>"FATTPA 8_20"</f>
        <v>FATTPA 8_20</v>
      </c>
      <c r="D139" s="4">
        <v>3496520328</v>
      </c>
      <c r="E139" s="5">
        <v>44074</v>
      </c>
      <c r="F139" s="4">
        <v>1424</v>
      </c>
      <c r="G139" s="4">
        <v>4681</v>
      </c>
      <c r="H139" s="4" t="s">
        <v>143</v>
      </c>
      <c r="I139" s="4" t="s">
        <v>144</v>
      </c>
      <c r="J139" s="4"/>
      <c r="K139" s="4" t="s">
        <v>145</v>
      </c>
      <c r="L139" s="4">
        <v>62.62</v>
      </c>
      <c r="M139" s="4">
        <v>56.93</v>
      </c>
      <c r="N139" s="5">
        <v>44086</v>
      </c>
      <c r="O139" s="4"/>
      <c r="P139" s="4" t="s">
        <v>24</v>
      </c>
    </row>
    <row r="140" spans="1:16" x14ac:dyDescent="0.25">
      <c r="A140" s="4" t="s">
        <v>17</v>
      </c>
      <c r="B140" s="5">
        <v>44056</v>
      </c>
      <c r="C140" s="4" t="str">
        <f>"FATTPA 9_20"</f>
        <v>FATTPA 9_20</v>
      </c>
      <c r="D140" s="4">
        <v>3496526061</v>
      </c>
      <c r="E140" s="5">
        <v>44074</v>
      </c>
      <c r="F140" s="4">
        <v>1432</v>
      </c>
      <c r="G140" s="4">
        <v>4681</v>
      </c>
      <c r="H140" s="4" t="s">
        <v>143</v>
      </c>
      <c r="I140" s="4" t="s">
        <v>144</v>
      </c>
      <c r="J140" s="4"/>
      <c r="K140" s="4" t="s">
        <v>145</v>
      </c>
      <c r="L140" s="4">
        <v>38.020000000000003</v>
      </c>
      <c r="M140" s="4">
        <v>34.56</v>
      </c>
      <c r="N140" s="5">
        <v>44086</v>
      </c>
      <c r="O140" s="4"/>
      <c r="P140" s="4" t="s">
        <v>24</v>
      </c>
    </row>
    <row r="141" spans="1:16" x14ac:dyDescent="0.25">
      <c r="A141" s="4" t="s">
        <v>17</v>
      </c>
      <c r="B141" s="5">
        <v>44012</v>
      </c>
      <c r="C141" s="4" t="str">
        <f>"A20PAS0006429"</f>
        <v>A20PAS0006429</v>
      </c>
      <c r="D141" s="4">
        <v>3273246045</v>
      </c>
      <c r="E141" s="5">
        <v>44039</v>
      </c>
      <c r="F141" s="4">
        <v>1124</v>
      </c>
      <c r="G141" s="4">
        <v>730</v>
      </c>
      <c r="H141" s="4" t="s">
        <v>146</v>
      </c>
      <c r="I141" s="4"/>
      <c r="J141" s="4" t="s">
        <v>147</v>
      </c>
      <c r="K141" s="4"/>
      <c r="L141" s="4">
        <v>26.96</v>
      </c>
      <c r="M141" s="4">
        <v>22.1</v>
      </c>
      <c r="N141" s="5">
        <v>44051</v>
      </c>
      <c r="O141" s="4"/>
      <c r="P141" s="4" t="s">
        <v>148</v>
      </c>
    </row>
    <row r="142" spans="1:16" x14ac:dyDescent="0.25">
      <c r="A142" s="4" t="s">
        <v>17</v>
      </c>
      <c r="B142" s="5">
        <v>43962</v>
      </c>
      <c r="C142" s="4" t="str">
        <f>"0000702"</f>
        <v>0000702</v>
      </c>
      <c r="D142" s="4">
        <v>2940331527</v>
      </c>
      <c r="E142" s="5">
        <v>43978</v>
      </c>
      <c r="F142" s="4">
        <v>890</v>
      </c>
      <c r="G142" s="4">
        <v>4237</v>
      </c>
      <c r="H142" s="4" t="s">
        <v>149</v>
      </c>
      <c r="I142" s="4">
        <v>1976500817</v>
      </c>
      <c r="J142" s="4" t="s">
        <v>150</v>
      </c>
      <c r="K142" s="4"/>
      <c r="L142" s="4">
        <v>77.19</v>
      </c>
      <c r="M142" s="4">
        <v>70.17</v>
      </c>
      <c r="N142" s="5">
        <v>43992</v>
      </c>
      <c r="O142" s="5">
        <v>44742</v>
      </c>
      <c r="P142" s="4" t="s">
        <v>24</v>
      </c>
    </row>
    <row r="143" spans="1:16" x14ac:dyDescent="0.25">
      <c r="A143" s="4" t="s">
        <v>17</v>
      </c>
      <c r="B143" s="5">
        <v>43950</v>
      </c>
      <c r="C143" s="4" t="str">
        <f>"35-FE"</f>
        <v>35-FE</v>
      </c>
      <c r="D143" s="4">
        <v>4148807438</v>
      </c>
      <c r="E143" s="5">
        <v>44193</v>
      </c>
      <c r="F143" s="4">
        <v>2209</v>
      </c>
      <c r="G143" s="4">
        <v>2691</v>
      </c>
      <c r="H143" s="4" t="s">
        <v>151</v>
      </c>
      <c r="I143" s="4"/>
      <c r="J143" s="4" t="s">
        <v>152</v>
      </c>
      <c r="K143" s="4" t="s">
        <v>153</v>
      </c>
      <c r="L143" s="6">
        <v>1464</v>
      </c>
      <c r="M143" s="6">
        <v>1200</v>
      </c>
      <c r="N143" s="5">
        <v>44200</v>
      </c>
      <c r="O143" s="5">
        <v>44553</v>
      </c>
      <c r="P143" s="4" t="s">
        <v>24</v>
      </c>
    </row>
    <row r="144" spans="1:16" x14ac:dyDescent="0.25">
      <c r="A144" s="4" t="s">
        <v>17</v>
      </c>
      <c r="B144" s="5">
        <v>43938</v>
      </c>
      <c r="C144" s="4" t="str">
        <f>"0664/2020"</f>
        <v>0664/2020</v>
      </c>
      <c r="D144" s="4">
        <v>2962490063</v>
      </c>
      <c r="E144" s="5">
        <v>43972</v>
      </c>
      <c r="F144" s="4">
        <v>783</v>
      </c>
      <c r="G144" s="4">
        <v>4473</v>
      </c>
      <c r="H144" s="4" t="s">
        <v>114</v>
      </c>
      <c r="I144" s="4"/>
      <c r="J144" s="4" t="s">
        <v>115</v>
      </c>
      <c r="K144" s="4" t="s">
        <v>116</v>
      </c>
      <c r="L144" s="4">
        <v>101.26</v>
      </c>
      <c r="M144" s="4">
        <v>83</v>
      </c>
      <c r="N144" s="5">
        <v>43995</v>
      </c>
      <c r="O144" s="4"/>
      <c r="P144" s="4" t="s">
        <v>20</v>
      </c>
    </row>
    <row r="145" spans="1:16" x14ac:dyDescent="0.25">
      <c r="A145" s="4" t="s">
        <v>17</v>
      </c>
      <c r="B145" s="5">
        <v>43921</v>
      </c>
      <c r="C145" s="4" t="str">
        <f>"20PAS0003531"</f>
        <v>20PAS0003531</v>
      </c>
      <c r="D145" s="4">
        <v>2779753177</v>
      </c>
      <c r="E145" s="5">
        <v>43937</v>
      </c>
      <c r="F145" s="4">
        <v>654</v>
      </c>
      <c r="G145" s="4">
        <v>4524</v>
      </c>
      <c r="H145" s="4" t="s">
        <v>154</v>
      </c>
      <c r="I145" s="4">
        <v>4552920482</v>
      </c>
      <c r="J145" s="4" t="s">
        <v>155</v>
      </c>
      <c r="K145" s="4"/>
      <c r="L145" s="4">
        <v>36.6</v>
      </c>
      <c r="M145" s="4">
        <v>30</v>
      </c>
      <c r="N145" s="5">
        <v>43957</v>
      </c>
      <c r="O145" s="4"/>
      <c r="P145" s="4" t="s">
        <v>148</v>
      </c>
    </row>
    <row r="146" spans="1:16" x14ac:dyDescent="0.25">
      <c r="A146" s="4" t="s">
        <v>17</v>
      </c>
      <c r="B146" s="5">
        <v>43910</v>
      </c>
      <c r="C146" s="4" t="str">
        <f>"0455/2020"</f>
        <v>0455/2020</v>
      </c>
      <c r="D146" s="4">
        <v>2830651091</v>
      </c>
      <c r="E146" s="5">
        <v>43937</v>
      </c>
      <c r="F146" s="4">
        <v>662</v>
      </c>
      <c r="G146" s="4">
        <v>4473</v>
      </c>
      <c r="H146" s="4" t="s">
        <v>114</v>
      </c>
      <c r="I146" s="4"/>
      <c r="J146" s="4" t="s">
        <v>115</v>
      </c>
      <c r="K146" s="4" t="s">
        <v>116</v>
      </c>
      <c r="L146" s="4">
        <v>174.46</v>
      </c>
      <c r="M146" s="4">
        <v>143</v>
      </c>
      <c r="N146" s="5">
        <v>43965</v>
      </c>
      <c r="O146" s="4"/>
      <c r="P146" s="4" t="s">
        <v>40</v>
      </c>
    </row>
    <row r="147" spans="1:16" x14ac:dyDescent="0.25">
      <c r="A147" s="4" t="s">
        <v>17</v>
      </c>
      <c r="B147" s="5">
        <v>43875</v>
      </c>
      <c r="C147" s="4" t="str">
        <f>"7X00392356"</f>
        <v>7X00392356</v>
      </c>
      <c r="D147" s="4">
        <v>2555290023</v>
      </c>
      <c r="E147" s="5">
        <v>43892</v>
      </c>
      <c r="F147" s="4">
        <v>372</v>
      </c>
      <c r="G147" s="4">
        <v>3564</v>
      </c>
      <c r="H147" s="4" t="s">
        <v>37</v>
      </c>
      <c r="I147" s="4">
        <v>488410010</v>
      </c>
      <c r="J147" s="4" t="s">
        <v>38</v>
      </c>
      <c r="K147" s="4" t="s">
        <v>156</v>
      </c>
      <c r="L147" s="4">
        <v>84.16</v>
      </c>
      <c r="M147" s="4">
        <v>68.98</v>
      </c>
      <c r="N147" s="5">
        <v>43912</v>
      </c>
      <c r="O147" s="5">
        <v>44634</v>
      </c>
      <c r="P147" s="4" t="s">
        <v>104</v>
      </c>
    </row>
    <row r="148" spans="1:16" x14ac:dyDescent="0.25">
      <c r="A148" s="4" t="s">
        <v>17</v>
      </c>
      <c r="B148" s="5">
        <v>43847</v>
      </c>
      <c r="C148" s="4" t="str">
        <f>"0105/2020"</f>
        <v>0105/2020</v>
      </c>
      <c r="D148" s="4">
        <v>2435315194</v>
      </c>
      <c r="E148" s="5">
        <v>43866</v>
      </c>
      <c r="F148" s="4">
        <v>147</v>
      </c>
      <c r="G148" s="4">
        <v>241</v>
      </c>
      <c r="H148" s="4" t="s">
        <v>157</v>
      </c>
      <c r="I148" s="4">
        <v>80012000826</v>
      </c>
      <c r="J148" s="4" t="s">
        <v>115</v>
      </c>
      <c r="K148" s="4" t="s">
        <v>116</v>
      </c>
      <c r="L148" s="4">
        <v>233.02</v>
      </c>
      <c r="M148" s="4">
        <v>191</v>
      </c>
      <c r="N148" s="5">
        <v>43894</v>
      </c>
      <c r="O148" s="4"/>
      <c r="P148" s="4" t="s">
        <v>20</v>
      </c>
    </row>
    <row r="149" spans="1:16" x14ac:dyDescent="0.25">
      <c r="A149" s="4" t="s">
        <v>17</v>
      </c>
      <c r="B149" s="5">
        <v>43830</v>
      </c>
      <c r="C149" s="4" t="str">
        <f>"2019903795"</f>
        <v>2019903795</v>
      </c>
      <c r="D149" s="4">
        <v>2295472344</v>
      </c>
      <c r="E149" s="5">
        <v>43850</v>
      </c>
      <c r="F149" s="4">
        <v>76</v>
      </c>
      <c r="G149" s="4">
        <v>4726</v>
      </c>
      <c r="H149" s="4" t="s">
        <v>158</v>
      </c>
      <c r="I149" s="4"/>
      <c r="J149" s="4" t="s">
        <v>159</v>
      </c>
      <c r="K149" s="4" t="s">
        <v>160</v>
      </c>
      <c r="L149" s="4">
        <v>732</v>
      </c>
      <c r="M149" s="4">
        <v>600</v>
      </c>
      <c r="N149" s="5">
        <v>43869</v>
      </c>
      <c r="O149" s="4"/>
      <c r="P149" s="4" t="s">
        <v>59</v>
      </c>
    </row>
    <row r="150" spans="1:16" x14ac:dyDescent="0.25">
      <c r="A150" s="4" t="s">
        <v>17</v>
      </c>
      <c r="B150" s="5">
        <v>43819</v>
      </c>
      <c r="C150" s="4" t="str">
        <f>"2085/2019"</f>
        <v>2085/2019</v>
      </c>
      <c r="D150" s="4">
        <v>2288772604</v>
      </c>
      <c r="E150" s="5">
        <v>43850</v>
      </c>
      <c r="F150" s="4">
        <v>38</v>
      </c>
      <c r="G150" s="4">
        <v>4473</v>
      </c>
      <c r="H150" s="4" t="s">
        <v>114</v>
      </c>
      <c r="I150" s="4"/>
      <c r="J150" s="4" t="s">
        <v>115</v>
      </c>
      <c r="K150" s="4" t="s">
        <v>116</v>
      </c>
      <c r="L150" s="4">
        <v>233.02</v>
      </c>
      <c r="M150" s="4">
        <v>191</v>
      </c>
      <c r="N150" s="5">
        <v>43868</v>
      </c>
      <c r="O150" s="4"/>
      <c r="P150" s="4" t="s">
        <v>40</v>
      </c>
    </row>
    <row r="151" spans="1:16" x14ac:dyDescent="0.25">
      <c r="A151" s="4" t="s">
        <v>17</v>
      </c>
      <c r="B151" s="5">
        <v>43815</v>
      </c>
      <c r="C151" s="4" t="str">
        <f>"2/87"</f>
        <v>2/87</v>
      </c>
      <c r="D151" s="4">
        <v>2171713840</v>
      </c>
      <c r="E151" s="5">
        <v>43850</v>
      </c>
      <c r="F151" s="4">
        <v>41</v>
      </c>
      <c r="G151" s="4">
        <v>4919</v>
      </c>
      <c r="H151" s="4" t="s">
        <v>161</v>
      </c>
      <c r="I151" s="4">
        <v>4713650820</v>
      </c>
      <c r="J151" s="4" t="s">
        <v>162</v>
      </c>
      <c r="K151" s="4" t="s">
        <v>163</v>
      </c>
      <c r="L151" s="6">
        <v>4401.1000000000004</v>
      </c>
      <c r="M151" s="6">
        <v>4001</v>
      </c>
      <c r="N151" s="5">
        <v>43845</v>
      </c>
      <c r="O151" s="4"/>
      <c r="P151" s="4" t="s">
        <v>24</v>
      </c>
    </row>
    <row r="152" spans="1:16" x14ac:dyDescent="0.25">
      <c r="A152" s="4" t="s">
        <v>17</v>
      </c>
      <c r="B152" s="5">
        <v>43812</v>
      </c>
      <c r="C152" s="4" t="str">
        <f>"7X04767449"</f>
        <v>7X04767449</v>
      </c>
      <c r="D152" s="4">
        <v>2192914879</v>
      </c>
      <c r="E152" s="5">
        <v>43830</v>
      </c>
      <c r="F152" s="4">
        <v>6361</v>
      </c>
      <c r="G152" s="4">
        <v>3564</v>
      </c>
      <c r="H152" s="4" t="s">
        <v>37</v>
      </c>
      <c r="I152" s="4">
        <v>488410010</v>
      </c>
      <c r="J152" s="4" t="s">
        <v>38</v>
      </c>
      <c r="K152" s="4" t="s">
        <v>164</v>
      </c>
      <c r="L152" s="4">
        <v>84.16</v>
      </c>
      <c r="M152" s="4">
        <v>68.98</v>
      </c>
      <c r="N152" s="5">
        <v>43848</v>
      </c>
      <c r="O152" s="4"/>
      <c r="P152" s="4" t="s">
        <v>104</v>
      </c>
    </row>
    <row r="153" spans="1:16" x14ac:dyDescent="0.25">
      <c r="A153" s="4" t="s">
        <v>17</v>
      </c>
      <c r="B153" s="5">
        <v>43769</v>
      </c>
      <c r="C153" s="4" t="str">
        <f>"6820191016001305"</f>
        <v>6820191016001305</v>
      </c>
      <c r="D153" s="4">
        <v>1906041679</v>
      </c>
      <c r="E153" s="5">
        <v>43776</v>
      </c>
      <c r="F153" s="4">
        <v>3796</v>
      </c>
      <c r="G153" s="4">
        <v>3564</v>
      </c>
      <c r="H153" s="4" t="s">
        <v>37</v>
      </c>
      <c r="I153" s="4">
        <v>488410010</v>
      </c>
      <c r="J153" s="4" t="s">
        <v>38</v>
      </c>
      <c r="K153" s="4" t="s">
        <v>165</v>
      </c>
      <c r="L153" s="4">
        <v>292.8</v>
      </c>
      <c r="M153" s="4">
        <v>240</v>
      </c>
      <c r="N153" s="5">
        <v>43805</v>
      </c>
      <c r="O153" s="4"/>
      <c r="P153" s="4" t="s">
        <v>40</v>
      </c>
    </row>
    <row r="154" spans="1:16" x14ac:dyDescent="0.25">
      <c r="A154" s="4" t="s">
        <v>17</v>
      </c>
      <c r="B154" s="5">
        <v>43767</v>
      </c>
      <c r="C154" s="4" t="str">
        <f>"1/2019/386"</f>
        <v>1/2019/386</v>
      </c>
      <c r="D154" s="4">
        <v>1945228688</v>
      </c>
      <c r="E154" s="5">
        <v>43789</v>
      </c>
      <c r="F154" s="4">
        <v>3852</v>
      </c>
      <c r="G154" s="4">
        <v>3896</v>
      </c>
      <c r="H154" s="4" t="s">
        <v>166</v>
      </c>
      <c r="I154" s="4"/>
      <c r="J154" s="4" t="s">
        <v>89</v>
      </c>
      <c r="K154" s="4" t="s">
        <v>167</v>
      </c>
      <c r="L154" s="6">
        <v>6372</v>
      </c>
      <c r="M154" s="6">
        <v>6372</v>
      </c>
      <c r="N154" s="5">
        <v>43810</v>
      </c>
      <c r="O154" s="4"/>
      <c r="P154" s="4" t="s">
        <v>91</v>
      </c>
    </row>
    <row r="155" spans="1:16" x14ac:dyDescent="0.25">
      <c r="A155" s="4" t="s">
        <v>17</v>
      </c>
      <c r="B155" s="5">
        <v>43752</v>
      </c>
      <c r="C155" s="4" t="str">
        <f>"7X03911254"</f>
        <v>7X03911254</v>
      </c>
      <c r="D155" s="4">
        <v>1839585717</v>
      </c>
      <c r="E155" s="5">
        <v>43767</v>
      </c>
      <c r="F155" s="4">
        <v>3726</v>
      </c>
      <c r="G155" s="4">
        <v>3564</v>
      </c>
      <c r="H155" s="4" t="s">
        <v>37</v>
      </c>
      <c r="I155" s="4">
        <v>488410010</v>
      </c>
      <c r="J155" s="4" t="s">
        <v>38</v>
      </c>
      <c r="K155" s="4" t="s">
        <v>168</v>
      </c>
      <c r="L155" s="4">
        <v>84.16</v>
      </c>
      <c r="M155" s="4">
        <v>68.98</v>
      </c>
      <c r="N155" s="5">
        <v>43793</v>
      </c>
      <c r="O155" s="4"/>
      <c r="P155" s="4" t="s">
        <v>104</v>
      </c>
    </row>
    <row r="156" spans="1:16" x14ac:dyDescent="0.25">
      <c r="A156" s="4" t="s">
        <v>17</v>
      </c>
      <c r="B156" s="5">
        <v>43724</v>
      </c>
      <c r="C156" s="4" t="str">
        <f>"2/12"</f>
        <v>2/12</v>
      </c>
      <c r="D156" s="4">
        <v>1661443040</v>
      </c>
      <c r="E156" s="5">
        <v>43752</v>
      </c>
      <c r="F156" s="4">
        <v>1666</v>
      </c>
      <c r="G156" s="4">
        <v>4114</v>
      </c>
      <c r="H156" s="4" t="s">
        <v>141</v>
      </c>
      <c r="I156" s="4"/>
      <c r="J156" s="4" t="s">
        <v>142</v>
      </c>
      <c r="K156" s="4"/>
      <c r="L156" s="6">
        <v>4580.22</v>
      </c>
      <c r="M156" s="6">
        <v>3754.28</v>
      </c>
      <c r="N156" s="5">
        <v>43765</v>
      </c>
      <c r="O156" s="4"/>
      <c r="P156" s="4" t="s">
        <v>24</v>
      </c>
    </row>
    <row r="157" spans="1:16" x14ac:dyDescent="0.25">
      <c r="A157" s="4" t="s">
        <v>17</v>
      </c>
      <c r="B157" s="5">
        <v>43713</v>
      </c>
      <c r="C157" s="4" t="str">
        <f>"1619029246"</f>
        <v>1619029246</v>
      </c>
      <c r="D157" s="4">
        <v>1548131297</v>
      </c>
      <c r="E157" s="5">
        <v>43718</v>
      </c>
      <c r="F157" s="4">
        <v>1436</v>
      </c>
      <c r="G157" s="4">
        <v>4701</v>
      </c>
      <c r="H157" s="4" t="s">
        <v>34</v>
      </c>
      <c r="I157" s="4">
        <v>1336610587</v>
      </c>
      <c r="J157" s="4" t="s">
        <v>35</v>
      </c>
      <c r="K157" s="4" t="s">
        <v>169</v>
      </c>
      <c r="L157" s="4">
        <v>159.44999999999999</v>
      </c>
      <c r="M157" s="4">
        <v>130.69999999999999</v>
      </c>
      <c r="N157" s="5">
        <v>43744</v>
      </c>
      <c r="O157" s="4"/>
      <c r="P157" s="4" t="s">
        <v>148</v>
      </c>
    </row>
    <row r="158" spans="1:16" x14ac:dyDescent="0.25">
      <c r="A158" s="4" t="s">
        <v>17</v>
      </c>
      <c r="B158" s="5">
        <v>43693</v>
      </c>
      <c r="C158" s="4" t="str">
        <f>"811 PA"</f>
        <v>811 PA</v>
      </c>
      <c r="D158" s="4">
        <v>1459392378</v>
      </c>
      <c r="E158" s="5">
        <v>43710</v>
      </c>
      <c r="F158" s="4">
        <v>1376</v>
      </c>
      <c r="G158" s="4">
        <v>5086</v>
      </c>
      <c r="H158" s="4" t="s">
        <v>170</v>
      </c>
      <c r="I158" s="4">
        <v>96002340824</v>
      </c>
      <c r="J158" s="4" t="s">
        <v>171</v>
      </c>
      <c r="K158" s="4" t="s">
        <v>124</v>
      </c>
      <c r="L158" s="6">
        <v>1047.0899999999999</v>
      </c>
      <c r="M158" s="4">
        <v>997.23</v>
      </c>
      <c r="N158" s="5">
        <v>43727</v>
      </c>
      <c r="O158" s="5">
        <v>44644</v>
      </c>
      <c r="P158" s="4" t="s">
        <v>20</v>
      </c>
    </row>
    <row r="159" spans="1:16" x14ac:dyDescent="0.25">
      <c r="A159" s="4" t="s">
        <v>17</v>
      </c>
      <c r="B159" s="5">
        <v>43691</v>
      </c>
      <c r="C159" s="4" t="str">
        <f>"7X03177661"</f>
        <v>7X03177661</v>
      </c>
      <c r="D159" s="4">
        <v>1475762588</v>
      </c>
      <c r="E159" s="5">
        <v>43718</v>
      </c>
      <c r="F159" s="4">
        <v>1441</v>
      </c>
      <c r="G159" s="4">
        <v>3564</v>
      </c>
      <c r="H159" s="4" t="s">
        <v>37</v>
      </c>
      <c r="I159" s="4">
        <v>488410010</v>
      </c>
      <c r="J159" s="4" t="s">
        <v>38</v>
      </c>
      <c r="K159" s="4" t="s">
        <v>172</v>
      </c>
      <c r="L159" s="4">
        <v>84.16</v>
      </c>
      <c r="M159" s="4">
        <v>68.98</v>
      </c>
      <c r="N159" s="5">
        <v>43732</v>
      </c>
      <c r="O159" s="4"/>
      <c r="P159" s="4" t="s">
        <v>104</v>
      </c>
    </row>
    <row r="160" spans="1:16" x14ac:dyDescent="0.25">
      <c r="A160" s="4" t="s">
        <v>70</v>
      </c>
      <c r="B160" s="5">
        <v>43633</v>
      </c>
      <c r="C160" s="4" t="str">
        <f>"B000089"</f>
        <v>B000089</v>
      </c>
      <c r="D160" s="4">
        <v>1096489417</v>
      </c>
      <c r="E160" s="5">
        <v>43651</v>
      </c>
      <c r="F160" s="4">
        <v>1049</v>
      </c>
      <c r="G160" s="4">
        <v>4685</v>
      </c>
      <c r="H160" s="4" t="s">
        <v>173</v>
      </c>
      <c r="I160" s="4"/>
      <c r="J160" s="4" t="s">
        <v>174</v>
      </c>
      <c r="K160" s="4"/>
      <c r="L160" s="6">
        <v>-1708</v>
      </c>
      <c r="M160" s="6">
        <v>-1400</v>
      </c>
      <c r="N160" s="5">
        <v>43633</v>
      </c>
      <c r="O160" s="4"/>
      <c r="P160" s="4" t="s">
        <v>24</v>
      </c>
    </row>
    <row r="161" spans="1:16" x14ac:dyDescent="0.25">
      <c r="A161" s="4" t="s">
        <v>17</v>
      </c>
      <c r="B161" s="5">
        <v>43630</v>
      </c>
      <c r="C161" s="4" t="str">
        <f>"7X02222687"</f>
        <v>7X02222687</v>
      </c>
      <c r="D161" s="4">
        <v>1094573723</v>
      </c>
      <c r="E161" s="5">
        <v>43640</v>
      </c>
      <c r="F161" s="4">
        <v>970</v>
      </c>
      <c r="G161" s="4">
        <v>3564</v>
      </c>
      <c r="H161" s="4" t="s">
        <v>37</v>
      </c>
      <c r="I161" s="4">
        <v>488410010</v>
      </c>
      <c r="J161" s="4" t="s">
        <v>38</v>
      </c>
      <c r="K161" s="4" t="s">
        <v>175</v>
      </c>
      <c r="L161" s="4">
        <v>84.16</v>
      </c>
      <c r="M161" s="4">
        <v>68.98</v>
      </c>
      <c r="N161" s="5">
        <v>43703</v>
      </c>
      <c r="O161" s="4"/>
      <c r="P161" s="4" t="s">
        <v>104</v>
      </c>
    </row>
    <row r="162" spans="1:16" x14ac:dyDescent="0.25">
      <c r="A162" s="4" t="s">
        <v>17</v>
      </c>
      <c r="B162" s="5">
        <v>43630</v>
      </c>
      <c r="C162" s="4" t="str">
        <f>"1010/2019"</f>
        <v>1010/2019</v>
      </c>
      <c r="D162" s="4">
        <v>1103380678</v>
      </c>
      <c r="E162" s="5">
        <v>43640</v>
      </c>
      <c r="F162" s="4">
        <v>977</v>
      </c>
      <c r="G162" s="4">
        <v>4473</v>
      </c>
      <c r="H162" s="4" t="s">
        <v>114</v>
      </c>
      <c r="I162" s="4"/>
      <c r="J162" s="4" t="s">
        <v>115</v>
      </c>
      <c r="K162" s="4" t="s">
        <v>116</v>
      </c>
      <c r="L162" s="4">
        <v>174.46</v>
      </c>
      <c r="M162" s="4">
        <v>143</v>
      </c>
      <c r="N162" s="5">
        <v>43666</v>
      </c>
      <c r="O162" s="4"/>
      <c r="P162" s="4" t="s">
        <v>20</v>
      </c>
    </row>
    <row r="163" spans="1:16" x14ac:dyDescent="0.25">
      <c r="A163" s="4" t="s">
        <v>17</v>
      </c>
      <c r="B163" s="5">
        <v>43567</v>
      </c>
      <c r="C163" s="4" t="str">
        <f>"FATTPA 1_19"</f>
        <v>FATTPA 1_19</v>
      </c>
      <c r="D163" s="4">
        <v>1337502023</v>
      </c>
      <c r="E163" s="5">
        <v>43686</v>
      </c>
      <c r="F163" s="4">
        <v>1210</v>
      </c>
      <c r="G163" s="4">
        <v>66</v>
      </c>
      <c r="H163" s="4" t="s">
        <v>95</v>
      </c>
      <c r="I163" s="4">
        <v>247990815</v>
      </c>
      <c r="J163" s="4" t="s">
        <v>96</v>
      </c>
      <c r="K163" s="4" t="s">
        <v>176</v>
      </c>
      <c r="L163" s="4">
        <v>155</v>
      </c>
      <c r="M163" s="4">
        <v>140.91</v>
      </c>
      <c r="N163" s="5">
        <v>43705</v>
      </c>
      <c r="O163" s="4"/>
      <c r="P163" s="4" t="s">
        <v>24</v>
      </c>
    </row>
    <row r="164" spans="1:16" x14ac:dyDescent="0.25">
      <c r="A164" s="4" t="s">
        <v>17</v>
      </c>
      <c r="B164" s="5">
        <v>43567</v>
      </c>
      <c r="C164" s="4" t="str">
        <f>"7X01267415"</f>
        <v>7X01267415</v>
      </c>
      <c r="D164" s="4">
        <v>752468012</v>
      </c>
      <c r="E164" s="5">
        <v>43585</v>
      </c>
      <c r="F164" s="4">
        <v>676</v>
      </c>
      <c r="G164" s="4">
        <v>3564</v>
      </c>
      <c r="H164" s="4" t="s">
        <v>37</v>
      </c>
      <c r="I164" s="4">
        <v>488410010</v>
      </c>
      <c r="J164" s="4" t="s">
        <v>38</v>
      </c>
      <c r="K164" s="4" t="s">
        <v>177</v>
      </c>
      <c r="L164" s="4">
        <v>84.16</v>
      </c>
      <c r="M164" s="4">
        <v>68.98</v>
      </c>
      <c r="N164" s="5">
        <v>43640</v>
      </c>
      <c r="O164" s="4"/>
      <c r="P164" s="4" t="s">
        <v>104</v>
      </c>
    </row>
    <row r="165" spans="1:16" x14ac:dyDescent="0.25">
      <c r="A165" s="4" t="s">
        <v>70</v>
      </c>
      <c r="B165" s="5">
        <v>43565</v>
      </c>
      <c r="C165" s="4" t="str">
        <f>"6920190414000638"</f>
        <v>6920190414000638</v>
      </c>
      <c r="D165" s="4">
        <v>699270390</v>
      </c>
      <c r="E165" s="5">
        <v>43571</v>
      </c>
      <c r="F165" s="4">
        <v>589</v>
      </c>
      <c r="G165" s="4">
        <v>3564</v>
      </c>
      <c r="H165" s="4" t="s">
        <v>37</v>
      </c>
      <c r="I165" s="4">
        <v>488410010</v>
      </c>
      <c r="J165" s="4" t="s">
        <v>38</v>
      </c>
      <c r="K165" s="4" t="s">
        <v>178</v>
      </c>
      <c r="L165" s="4">
        <v>-17.329999999999998</v>
      </c>
      <c r="M165" s="4">
        <v>-17.329999999999998</v>
      </c>
      <c r="N165" s="5">
        <v>43597</v>
      </c>
      <c r="O165" s="4"/>
      <c r="P165" s="4" t="s">
        <v>40</v>
      </c>
    </row>
    <row r="166" spans="1:16" x14ac:dyDescent="0.25">
      <c r="A166" s="4" t="s">
        <v>70</v>
      </c>
      <c r="B166" s="5">
        <v>43564</v>
      </c>
      <c r="C166" s="4" t="str">
        <f>"6920190414000578"</f>
        <v>6920190414000578</v>
      </c>
      <c r="D166" s="4">
        <v>699272555</v>
      </c>
      <c r="E166" s="5">
        <v>43571</v>
      </c>
      <c r="F166" s="4">
        <v>590</v>
      </c>
      <c r="G166" s="4">
        <v>3564</v>
      </c>
      <c r="H166" s="4" t="s">
        <v>37</v>
      </c>
      <c r="I166" s="4">
        <v>488410010</v>
      </c>
      <c r="J166" s="4" t="s">
        <v>38</v>
      </c>
      <c r="K166" s="4" t="s">
        <v>178</v>
      </c>
      <c r="L166" s="4">
        <v>-154.13999999999999</v>
      </c>
      <c r="M166" s="4">
        <v>-154.13999999999999</v>
      </c>
      <c r="N166" s="5">
        <v>43597</v>
      </c>
      <c r="O166" s="4"/>
      <c r="P166" s="4" t="s">
        <v>40</v>
      </c>
    </row>
    <row r="167" spans="1:16" x14ac:dyDescent="0.25">
      <c r="A167" s="4" t="s">
        <v>70</v>
      </c>
      <c r="B167" s="5">
        <v>43554</v>
      </c>
      <c r="C167" s="4" t="str">
        <f>"6920190314063614"</f>
        <v>6920190314063614</v>
      </c>
      <c r="D167" s="4">
        <v>624135255</v>
      </c>
      <c r="E167" s="5">
        <v>43559</v>
      </c>
      <c r="F167" s="4">
        <v>452</v>
      </c>
      <c r="G167" s="4">
        <v>3564</v>
      </c>
      <c r="H167" s="4" t="s">
        <v>37</v>
      </c>
      <c r="I167" s="4">
        <v>488410010</v>
      </c>
      <c r="J167" s="4" t="s">
        <v>38</v>
      </c>
      <c r="K167" s="4" t="s">
        <v>178</v>
      </c>
      <c r="L167" s="4">
        <v>-160.16</v>
      </c>
      <c r="M167" s="4">
        <v>-160.16</v>
      </c>
      <c r="N167" s="5">
        <v>43587</v>
      </c>
      <c r="O167" s="4"/>
      <c r="P167" s="4" t="s">
        <v>40</v>
      </c>
    </row>
    <row r="168" spans="1:16" x14ac:dyDescent="0.25">
      <c r="A168" s="4" t="s">
        <v>70</v>
      </c>
      <c r="B168" s="5">
        <v>43554</v>
      </c>
      <c r="C168" s="4" t="str">
        <f>"6920190314063615"</f>
        <v>6920190314063615</v>
      </c>
      <c r="D168" s="4">
        <v>624135167</v>
      </c>
      <c r="E168" s="5">
        <v>43559</v>
      </c>
      <c r="F168" s="4">
        <v>453</v>
      </c>
      <c r="G168" s="4">
        <v>3564</v>
      </c>
      <c r="H168" s="4" t="s">
        <v>37</v>
      </c>
      <c r="I168" s="4">
        <v>488410010</v>
      </c>
      <c r="J168" s="4" t="s">
        <v>38</v>
      </c>
      <c r="K168" s="4" t="s">
        <v>178</v>
      </c>
      <c r="L168" s="4">
        <v>-150.65</v>
      </c>
      <c r="M168" s="4">
        <v>-150.65</v>
      </c>
      <c r="N168" s="5">
        <v>43589</v>
      </c>
      <c r="O168" s="4"/>
      <c r="P168" s="4" t="s">
        <v>40</v>
      </c>
    </row>
    <row r="169" spans="1:16" x14ac:dyDescent="0.25">
      <c r="A169" s="4" t="s">
        <v>70</v>
      </c>
      <c r="B169" s="5">
        <v>43549</v>
      </c>
      <c r="C169" s="4" t="str">
        <f>"6920190314002550"</f>
        <v>6920190314002550</v>
      </c>
      <c r="D169" s="4">
        <v>578407516</v>
      </c>
      <c r="E169" s="5">
        <v>43559</v>
      </c>
      <c r="F169" s="4">
        <v>450</v>
      </c>
      <c r="G169" s="4">
        <v>3564</v>
      </c>
      <c r="H169" s="4" t="s">
        <v>37</v>
      </c>
      <c r="I169" s="4">
        <v>488410010</v>
      </c>
      <c r="J169" s="4" t="s">
        <v>38</v>
      </c>
      <c r="K169" s="4" t="s">
        <v>179</v>
      </c>
      <c r="L169" s="4">
        <v>-127.03</v>
      </c>
      <c r="M169" s="4">
        <v>-127.03</v>
      </c>
      <c r="N169" s="5">
        <v>43580</v>
      </c>
      <c r="O169" s="4"/>
      <c r="P169" s="4" t="s">
        <v>40</v>
      </c>
    </row>
    <row r="170" spans="1:16" x14ac:dyDescent="0.25">
      <c r="A170" s="4" t="s">
        <v>70</v>
      </c>
      <c r="B170" s="5">
        <v>43549</v>
      </c>
      <c r="C170" s="4" t="str">
        <f>"6920190314002557"</f>
        <v>6920190314002557</v>
      </c>
      <c r="D170" s="4">
        <v>578408149</v>
      </c>
      <c r="E170" s="5">
        <v>43559</v>
      </c>
      <c r="F170" s="4">
        <v>451</v>
      </c>
      <c r="G170" s="4">
        <v>3564</v>
      </c>
      <c r="H170" s="4" t="s">
        <v>37</v>
      </c>
      <c r="I170" s="4">
        <v>488410010</v>
      </c>
      <c r="J170" s="4" t="s">
        <v>38</v>
      </c>
      <c r="K170" s="4" t="s">
        <v>179</v>
      </c>
      <c r="L170" s="4">
        <v>-138.91999999999999</v>
      </c>
      <c r="M170" s="4">
        <v>-138.91999999999999</v>
      </c>
      <c r="N170" s="5">
        <v>43580</v>
      </c>
      <c r="O170" s="4"/>
      <c r="P170" s="4" t="s">
        <v>40</v>
      </c>
    </row>
    <row r="171" spans="1:16" x14ac:dyDescent="0.25">
      <c r="A171" s="4" t="s">
        <v>17</v>
      </c>
      <c r="B171" s="5">
        <v>43544</v>
      </c>
      <c r="C171" s="4" t="str">
        <f>"6820190316001315"</f>
        <v>6820190316001315</v>
      </c>
      <c r="D171" s="4">
        <v>559910206</v>
      </c>
      <c r="E171" s="5">
        <v>43549</v>
      </c>
      <c r="F171" s="4">
        <v>427</v>
      </c>
      <c r="G171" s="4">
        <v>3564</v>
      </c>
      <c r="H171" s="4" t="s">
        <v>37</v>
      </c>
      <c r="I171" s="4">
        <v>488410010</v>
      </c>
      <c r="J171" s="4" t="s">
        <v>38</v>
      </c>
      <c r="K171" s="4" t="s">
        <v>180</v>
      </c>
      <c r="L171" s="4">
        <v>292.8</v>
      </c>
      <c r="M171" s="4">
        <v>240</v>
      </c>
      <c r="N171" s="5">
        <v>43575</v>
      </c>
      <c r="O171" s="4"/>
      <c r="P171" s="4" t="s">
        <v>20</v>
      </c>
    </row>
    <row r="172" spans="1:16" x14ac:dyDescent="0.25">
      <c r="A172" s="4" t="s">
        <v>17</v>
      </c>
      <c r="B172" s="5">
        <v>43538</v>
      </c>
      <c r="C172" s="4" t="str">
        <f>"6820190316000821"</f>
        <v>6820190316000821</v>
      </c>
      <c r="D172" s="4">
        <v>532574640</v>
      </c>
      <c r="E172" s="5">
        <v>43542</v>
      </c>
      <c r="F172" s="4">
        <v>405</v>
      </c>
      <c r="G172" s="4">
        <v>3564</v>
      </c>
      <c r="H172" s="4" t="s">
        <v>37</v>
      </c>
      <c r="I172" s="4">
        <v>488410010</v>
      </c>
      <c r="J172" s="4" t="s">
        <v>38</v>
      </c>
      <c r="K172" s="4" t="s">
        <v>180</v>
      </c>
      <c r="L172" s="4">
        <v>292.8</v>
      </c>
      <c r="M172" s="4">
        <v>240</v>
      </c>
      <c r="N172" s="5">
        <v>43569</v>
      </c>
      <c r="O172" s="4"/>
      <c r="P172" s="4" t="s">
        <v>20</v>
      </c>
    </row>
    <row r="173" spans="1:16" x14ac:dyDescent="0.25">
      <c r="A173" s="4" t="s">
        <v>70</v>
      </c>
      <c r="B173" s="5">
        <v>43536</v>
      </c>
      <c r="C173" s="4" t="str">
        <f>"6920190314001060"</f>
        <v>6920190314001060</v>
      </c>
      <c r="D173" s="4">
        <v>525726650</v>
      </c>
      <c r="E173" s="5">
        <v>43542</v>
      </c>
      <c r="F173" s="4">
        <v>397</v>
      </c>
      <c r="G173" s="4">
        <v>3564</v>
      </c>
      <c r="H173" s="4" t="s">
        <v>37</v>
      </c>
      <c r="I173" s="4">
        <v>488410010</v>
      </c>
      <c r="J173" s="4" t="s">
        <v>38</v>
      </c>
      <c r="K173" s="4" t="s">
        <v>178</v>
      </c>
      <c r="L173" s="4">
        <v>-156.37</v>
      </c>
      <c r="M173" s="4">
        <v>-156.37</v>
      </c>
      <c r="N173" s="5">
        <v>43569</v>
      </c>
      <c r="O173" s="4"/>
      <c r="P173" s="4" t="s">
        <v>40</v>
      </c>
    </row>
    <row r="174" spans="1:16" x14ac:dyDescent="0.25">
      <c r="A174" s="4" t="s">
        <v>70</v>
      </c>
      <c r="B174" s="5">
        <v>43532</v>
      </c>
      <c r="C174" s="4" t="str">
        <f>"VL19000534"</f>
        <v>VL19000534</v>
      </c>
      <c r="D174" s="4">
        <v>482290548</v>
      </c>
      <c r="E174" s="5">
        <v>43537</v>
      </c>
      <c r="F174" s="4">
        <v>379</v>
      </c>
      <c r="G174" s="4">
        <v>2320</v>
      </c>
      <c r="H174" s="4" t="s">
        <v>98</v>
      </c>
      <c r="I174" s="4">
        <v>5892970152</v>
      </c>
      <c r="J174" s="4" t="s">
        <v>99</v>
      </c>
      <c r="K174" s="4" t="s">
        <v>181</v>
      </c>
      <c r="L174" s="6">
        <v>-3553.18</v>
      </c>
      <c r="M174" s="6">
        <v>-3416.52</v>
      </c>
      <c r="N174" s="5">
        <v>43563</v>
      </c>
      <c r="O174" s="4"/>
      <c r="P174" s="4" t="s">
        <v>20</v>
      </c>
    </row>
    <row r="175" spans="1:16" x14ac:dyDescent="0.25">
      <c r="A175" s="4" t="s">
        <v>17</v>
      </c>
      <c r="B175" s="5">
        <v>43510</v>
      </c>
      <c r="C175" s="4" t="str">
        <f>"7X00397842"</f>
        <v>7X00397842</v>
      </c>
      <c r="D175" s="4">
        <v>400578060</v>
      </c>
      <c r="E175" s="5">
        <v>43521</v>
      </c>
      <c r="F175" s="4">
        <v>340</v>
      </c>
      <c r="G175" s="4">
        <v>3564</v>
      </c>
      <c r="H175" s="4" t="s">
        <v>37</v>
      </c>
      <c r="I175" s="4">
        <v>488410010</v>
      </c>
      <c r="J175" s="4" t="s">
        <v>38</v>
      </c>
      <c r="K175" s="4" t="s">
        <v>182</v>
      </c>
      <c r="L175" s="4">
        <v>84.16</v>
      </c>
      <c r="M175" s="4">
        <v>68.98</v>
      </c>
      <c r="N175" s="5">
        <v>43581</v>
      </c>
      <c r="O175" s="4"/>
      <c r="P175" s="4" t="s">
        <v>104</v>
      </c>
    </row>
    <row r="176" spans="1:16" x14ac:dyDescent="0.25">
      <c r="A176" s="4" t="s">
        <v>17</v>
      </c>
      <c r="B176" s="5">
        <v>43510</v>
      </c>
      <c r="C176" s="4" t="str">
        <f>"FP19039254"</f>
        <v>FP19039254</v>
      </c>
      <c r="D176" s="4">
        <v>400493995</v>
      </c>
      <c r="E176" s="5">
        <v>43523</v>
      </c>
      <c r="F176" s="4">
        <v>344</v>
      </c>
      <c r="G176" s="4">
        <v>3564</v>
      </c>
      <c r="H176" s="4" t="s">
        <v>37</v>
      </c>
      <c r="I176" s="4">
        <v>488410010</v>
      </c>
      <c r="J176" s="4" t="s">
        <v>38</v>
      </c>
      <c r="K176" s="4" t="s">
        <v>182</v>
      </c>
      <c r="L176" s="4">
        <v>25</v>
      </c>
      <c r="M176" s="4">
        <v>20.49</v>
      </c>
      <c r="N176" s="5">
        <v>43549</v>
      </c>
      <c r="O176" s="4"/>
      <c r="P176" s="4" t="s">
        <v>104</v>
      </c>
    </row>
    <row r="177" spans="1:16" x14ac:dyDescent="0.25">
      <c r="A177" s="4" t="s">
        <v>70</v>
      </c>
      <c r="B177" s="5">
        <v>43502</v>
      </c>
      <c r="C177" s="4" t="str">
        <f>"8V00064832"</f>
        <v>8V00064832</v>
      </c>
      <c r="D177" s="4">
        <v>385639583</v>
      </c>
      <c r="E177" s="5">
        <v>43521</v>
      </c>
      <c r="F177" s="4">
        <v>338</v>
      </c>
      <c r="G177" s="4">
        <v>3564</v>
      </c>
      <c r="H177" s="4" t="s">
        <v>37</v>
      </c>
      <c r="I177" s="4">
        <v>488410010</v>
      </c>
      <c r="J177" s="4" t="s">
        <v>38</v>
      </c>
      <c r="K177" s="4" t="s">
        <v>182</v>
      </c>
      <c r="L177" s="4">
        <v>-164.75</v>
      </c>
      <c r="M177" s="4">
        <v>-135.04</v>
      </c>
      <c r="N177" s="5">
        <v>43546</v>
      </c>
      <c r="O177" s="4"/>
      <c r="P177" s="4" t="s">
        <v>104</v>
      </c>
    </row>
    <row r="178" spans="1:16" x14ac:dyDescent="0.25">
      <c r="A178" s="4" t="s">
        <v>70</v>
      </c>
      <c r="B178" s="5">
        <v>43502</v>
      </c>
      <c r="C178" s="4" t="str">
        <f>"8V00068677"</f>
        <v>8V00068677</v>
      </c>
      <c r="D178" s="4">
        <v>384996915</v>
      </c>
      <c r="E178" s="5">
        <v>43521</v>
      </c>
      <c r="F178" s="4">
        <v>337</v>
      </c>
      <c r="G178" s="4">
        <v>3564</v>
      </c>
      <c r="H178" s="4" t="s">
        <v>37</v>
      </c>
      <c r="I178" s="4">
        <v>488410010</v>
      </c>
      <c r="J178" s="4" t="s">
        <v>38</v>
      </c>
      <c r="K178" s="4" t="s">
        <v>182</v>
      </c>
      <c r="L178" s="4">
        <v>-290.86</v>
      </c>
      <c r="M178" s="4">
        <v>-257.04000000000002</v>
      </c>
      <c r="N178" s="5">
        <v>43547</v>
      </c>
      <c r="O178" s="4"/>
      <c r="P178" s="4" t="s">
        <v>104</v>
      </c>
    </row>
    <row r="179" spans="1:16" x14ac:dyDescent="0.25">
      <c r="A179" s="4" t="s">
        <v>17</v>
      </c>
      <c r="B179" s="5">
        <v>43497</v>
      </c>
      <c r="C179" s="4" t="str">
        <f>"7 PA"</f>
        <v>7 PA</v>
      </c>
      <c r="D179" s="4">
        <v>256434222</v>
      </c>
      <c r="E179" s="5">
        <v>43516</v>
      </c>
      <c r="F179" s="4">
        <v>282</v>
      </c>
      <c r="G179" s="4">
        <v>4591</v>
      </c>
      <c r="H179" s="4" t="s">
        <v>183</v>
      </c>
      <c r="I179" s="4"/>
      <c r="J179" s="4" t="s">
        <v>184</v>
      </c>
      <c r="K179" s="4" t="s">
        <v>124</v>
      </c>
      <c r="L179" s="6">
        <v>4404.2</v>
      </c>
      <c r="M179" s="6">
        <v>3610</v>
      </c>
      <c r="N179" s="5">
        <v>43497</v>
      </c>
      <c r="O179" s="5">
        <v>44529</v>
      </c>
      <c r="P179" s="4" t="s">
        <v>24</v>
      </c>
    </row>
    <row r="180" spans="1:16" x14ac:dyDescent="0.25">
      <c r="A180" s="4" t="s">
        <v>17</v>
      </c>
      <c r="B180" s="5">
        <v>43490</v>
      </c>
      <c r="C180" s="4" t="str">
        <f>"0140/2019"</f>
        <v>0140/2019</v>
      </c>
      <c r="D180" s="4">
        <v>474505441</v>
      </c>
      <c r="E180" s="5">
        <v>43538</v>
      </c>
      <c r="F180" s="4">
        <v>386</v>
      </c>
      <c r="G180" s="4">
        <v>4473</v>
      </c>
      <c r="H180" s="4" t="s">
        <v>114</v>
      </c>
      <c r="I180" s="4"/>
      <c r="J180" s="4" t="s">
        <v>115</v>
      </c>
      <c r="K180" s="4" t="s">
        <v>116</v>
      </c>
      <c r="L180" s="4">
        <v>218.38</v>
      </c>
      <c r="M180" s="4">
        <v>179</v>
      </c>
      <c r="N180" s="5">
        <v>43561</v>
      </c>
      <c r="O180" s="4"/>
      <c r="P180" s="4" t="s">
        <v>40</v>
      </c>
    </row>
    <row r="181" spans="1:16" x14ac:dyDescent="0.25">
      <c r="A181" s="4" t="s">
        <v>17</v>
      </c>
      <c r="B181" s="5">
        <v>43482</v>
      </c>
      <c r="C181" s="4" t="str">
        <f>"FATTPA 3_19"</f>
        <v>FATTPA 3_19</v>
      </c>
      <c r="D181" s="4">
        <v>180438586</v>
      </c>
      <c r="E181" s="5">
        <v>43500</v>
      </c>
      <c r="F181" s="4">
        <v>107</v>
      </c>
      <c r="G181" s="4">
        <v>4923</v>
      </c>
      <c r="H181" s="4" t="s">
        <v>185</v>
      </c>
      <c r="I181" s="4">
        <v>2379180819</v>
      </c>
      <c r="J181" s="4" t="s">
        <v>186</v>
      </c>
      <c r="K181" s="4" t="s">
        <v>187</v>
      </c>
      <c r="L181" s="6">
        <v>1556.96</v>
      </c>
      <c r="M181" s="6">
        <v>1276.2</v>
      </c>
      <c r="N181" s="5">
        <v>43482</v>
      </c>
      <c r="O181" s="4"/>
      <c r="P181" s="4" t="s">
        <v>24</v>
      </c>
    </row>
    <row r="182" spans="1:16" x14ac:dyDescent="0.25">
      <c r="A182" s="4" t="s">
        <v>17</v>
      </c>
      <c r="B182" s="5">
        <v>43465</v>
      </c>
      <c r="C182" s="4" t="str">
        <f>"FATTPA 55_18"</f>
        <v>FATTPA 55_18</v>
      </c>
      <c r="D182" s="4">
        <v>156700511</v>
      </c>
      <c r="E182" s="5">
        <v>43494</v>
      </c>
      <c r="F182" s="4">
        <v>58</v>
      </c>
      <c r="G182" s="4">
        <v>66</v>
      </c>
      <c r="H182" s="4" t="s">
        <v>95</v>
      </c>
      <c r="I182" s="4">
        <v>247990815</v>
      </c>
      <c r="J182" s="4" t="s">
        <v>96</v>
      </c>
      <c r="K182" s="4"/>
      <c r="L182" s="6">
        <v>1206.49</v>
      </c>
      <c r="M182" s="6">
        <v>1096.81</v>
      </c>
      <c r="N182" s="5">
        <v>43495</v>
      </c>
      <c r="O182" s="4"/>
      <c r="P182" s="4" t="s">
        <v>20</v>
      </c>
    </row>
    <row r="183" spans="1:16" x14ac:dyDescent="0.25">
      <c r="A183" s="4" t="s">
        <v>17</v>
      </c>
      <c r="B183" s="5">
        <v>43465</v>
      </c>
      <c r="C183" s="4" t="str">
        <f>"FATTPA 57_18"</f>
        <v>FATTPA 57_18</v>
      </c>
      <c r="D183" s="4">
        <v>156722144</v>
      </c>
      <c r="E183" s="5">
        <v>43496</v>
      </c>
      <c r="F183" s="4">
        <v>63</v>
      </c>
      <c r="G183" s="4">
        <v>66</v>
      </c>
      <c r="H183" s="4" t="s">
        <v>95</v>
      </c>
      <c r="I183" s="4">
        <v>247990815</v>
      </c>
      <c r="J183" s="4" t="s">
        <v>96</v>
      </c>
      <c r="K183" s="4"/>
      <c r="L183" s="4">
        <v>230.66</v>
      </c>
      <c r="M183" s="4">
        <v>209.69</v>
      </c>
      <c r="N183" s="5">
        <v>43496</v>
      </c>
      <c r="O183" s="4"/>
      <c r="P183" s="4" t="s">
        <v>20</v>
      </c>
    </row>
    <row r="184" spans="1:16" x14ac:dyDescent="0.25">
      <c r="A184" s="4" t="s">
        <v>17</v>
      </c>
      <c r="B184" s="5">
        <v>43465</v>
      </c>
      <c r="C184" s="4" t="str">
        <f>"1/2018/520"</f>
        <v>1/2018/520</v>
      </c>
      <c r="D184" s="4">
        <v>1224752201</v>
      </c>
      <c r="E184" s="5">
        <v>43664</v>
      </c>
      <c r="F184" s="4">
        <v>1085</v>
      </c>
      <c r="G184" s="4">
        <v>3896</v>
      </c>
      <c r="H184" s="4" t="s">
        <v>166</v>
      </c>
      <c r="I184" s="4"/>
      <c r="J184" s="4" t="s">
        <v>89</v>
      </c>
      <c r="K184" s="4" t="s">
        <v>188</v>
      </c>
      <c r="L184" s="6">
        <v>1539.9</v>
      </c>
      <c r="M184" s="6">
        <v>1539.9</v>
      </c>
      <c r="N184" s="5">
        <v>43465</v>
      </c>
      <c r="O184" s="4"/>
      <c r="P184" s="4" t="s">
        <v>91</v>
      </c>
    </row>
    <row r="185" spans="1:16" x14ac:dyDescent="0.25">
      <c r="A185" s="4" t="s">
        <v>17</v>
      </c>
      <c r="B185" s="5">
        <v>43462</v>
      </c>
      <c r="C185" s="4" t="str">
        <f>"000013-2018-FE"</f>
        <v>000013-2018-FE</v>
      </c>
      <c r="D185" s="4">
        <v>136897427</v>
      </c>
      <c r="E185" s="5">
        <v>43465</v>
      </c>
      <c r="F185" s="4">
        <v>2016</v>
      </c>
      <c r="G185" s="4">
        <v>170</v>
      </c>
      <c r="H185" s="4" t="s">
        <v>189</v>
      </c>
      <c r="I185" s="4" t="s">
        <v>190</v>
      </c>
      <c r="J185" s="4" t="s">
        <v>191</v>
      </c>
      <c r="K185" s="4" t="s">
        <v>192</v>
      </c>
      <c r="L185" s="4">
        <v>183.36</v>
      </c>
      <c r="M185" s="4">
        <v>183.36</v>
      </c>
      <c r="N185" s="5">
        <v>43492</v>
      </c>
      <c r="O185" s="4"/>
      <c r="P185" s="4" t="s">
        <v>20</v>
      </c>
    </row>
    <row r="186" spans="1:16" x14ac:dyDescent="0.25">
      <c r="A186" s="4" t="s">
        <v>17</v>
      </c>
      <c r="B186" s="5">
        <v>43448</v>
      </c>
      <c r="C186" s="4" t="str">
        <f>"7X05112699"</f>
        <v>7X05112699</v>
      </c>
      <c r="D186" s="4">
        <v>136110553</v>
      </c>
      <c r="E186" s="5">
        <v>43465</v>
      </c>
      <c r="F186" s="4">
        <v>2022</v>
      </c>
      <c r="G186" s="4">
        <v>3564</v>
      </c>
      <c r="H186" s="4" t="s">
        <v>37</v>
      </c>
      <c r="I186" s="4">
        <v>488410010</v>
      </c>
      <c r="J186" s="4" t="s">
        <v>38</v>
      </c>
      <c r="K186" s="4" t="s">
        <v>193</v>
      </c>
      <c r="L186" s="4">
        <v>84.16</v>
      </c>
      <c r="M186" s="4">
        <v>68.98</v>
      </c>
      <c r="N186" s="5">
        <v>43521</v>
      </c>
      <c r="O186" s="4"/>
      <c r="P186" s="4" t="s">
        <v>104</v>
      </c>
    </row>
    <row r="187" spans="1:16" x14ac:dyDescent="0.25">
      <c r="A187" s="4" t="s">
        <v>17</v>
      </c>
      <c r="B187" s="5">
        <v>43440</v>
      </c>
      <c r="C187" s="4" t="str">
        <f>"8V00581170"</f>
        <v>8V00581170</v>
      </c>
      <c r="D187" s="4">
        <v>135203997</v>
      </c>
      <c r="E187" s="5">
        <v>43465</v>
      </c>
      <c r="F187" s="4">
        <v>2020</v>
      </c>
      <c r="G187" s="4">
        <v>3564</v>
      </c>
      <c r="H187" s="4" t="s">
        <v>37</v>
      </c>
      <c r="I187" s="4">
        <v>488410010</v>
      </c>
      <c r="J187" s="4" t="s">
        <v>38</v>
      </c>
      <c r="K187" s="4" t="s">
        <v>193</v>
      </c>
      <c r="L187" s="4">
        <v>118.1</v>
      </c>
      <c r="M187" s="4">
        <v>96.8</v>
      </c>
      <c r="N187" s="5">
        <v>43526</v>
      </c>
      <c r="O187" s="4"/>
      <c r="P187" s="4" t="s">
        <v>104</v>
      </c>
    </row>
    <row r="188" spans="1:16" x14ac:dyDescent="0.25">
      <c r="A188" s="4" t="s">
        <v>17</v>
      </c>
      <c r="B188" s="5">
        <v>43440</v>
      </c>
      <c r="C188" s="4" t="str">
        <f>"8V00584556"</f>
        <v>8V00584556</v>
      </c>
      <c r="D188" s="4">
        <v>136040481</v>
      </c>
      <c r="E188" s="5">
        <v>43465</v>
      </c>
      <c r="F188" s="4">
        <v>2039</v>
      </c>
      <c r="G188" s="4">
        <v>3564</v>
      </c>
      <c r="H188" s="4" t="s">
        <v>37</v>
      </c>
      <c r="I188" s="4">
        <v>488410010</v>
      </c>
      <c r="J188" s="4" t="s">
        <v>38</v>
      </c>
      <c r="K188" s="4" t="s">
        <v>193</v>
      </c>
      <c r="L188" s="4">
        <v>130.30000000000001</v>
      </c>
      <c r="M188" s="4">
        <v>106.8</v>
      </c>
      <c r="N188" s="5">
        <v>43526</v>
      </c>
      <c r="O188" s="4"/>
      <c r="P188" s="4" t="s">
        <v>104</v>
      </c>
    </row>
    <row r="189" spans="1:16" x14ac:dyDescent="0.25">
      <c r="A189" s="4" t="s">
        <v>17</v>
      </c>
      <c r="B189" s="5">
        <v>43438</v>
      </c>
      <c r="C189" s="4" t="str">
        <f>"000012-2018-FE"</f>
        <v>000012-2018-FE</v>
      </c>
      <c r="D189" s="4">
        <v>131071999</v>
      </c>
      <c r="E189" s="5">
        <v>43446</v>
      </c>
      <c r="F189" s="4">
        <v>1888</v>
      </c>
      <c r="G189" s="4">
        <v>170</v>
      </c>
      <c r="H189" s="4" t="s">
        <v>189</v>
      </c>
      <c r="I189" s="4" t="s">
        <v>190</v>
      </c>
      <c r="J189" s="4" t="s">
        <v>191</v>
      </c>
      <c r="K189" s="4" t="s">
        <v>192</v>
      </c>
      <c r="L189" s="4">
        <v>916.8</v>
      </c>
      <c r="M189" s="4">
        <v>916.8</v>
      </c>
      <c r="N189" s="5">
        <v>43470</v>
      </c>
      <c r="O189" s="4"/>
      <c r="P189" s="4" t="s">
        <v>20</v>
      </c>
    </row>
    <row r="190" spans="1:16" x14ac:dyDescent="0.25">
      <c r="A190" s="4" t="s">
        <v>17</v>
      </c>
      <c r="B190" s="5">
        <v>43426</v>
      </c>
      <c r="C190" s="4" t="str">
        <f>"062/18"</f>
        <v>062/18</v>
      </c>
      <c r="D190" s="4">
        <v>129309685</v>
      </c>
      <c r="E190" s="5">
        <v>43462</v>
      </c>
      <c r="F190" s="4">
        <v>2013</v>
      </c>
      <c r="G190" s="4">
        <v>4692</v>
      </c>
      <c r="H190" s="4" t="s">
        <v>194</v>
      </c>
      <c r="I190" s="4"/>
      <c r="J190" s="4" t="s">
        <v>195</v>
      </c>
      <c r="K190" s="4" t="s">
        <v>196</v>
      </c>
      <c r="L190" s="4">
        <v>88.77</v>
      </c>
      <c r="M190" s="4">
        <v>88.77</v>
      </c>
      <c r="N190" s="5">
        <v>43457</v>
      </c>
      <c r="O190" s="4"/>
      <c r="P190" s="4" t="s">
        <v>24</v>
      </c>
    </row>
    <row r="191" spans="1:16" x14ac:dyDescent="0.25">
      <c r="A191" s="4" t="s">
        <v>17</v>
      </c>
      <c r="B191" s="5">
        <v>43412</v>
      </c>
      <c r="C191" s="4" t="str">
        <f>"000011-2018-FE"</f>
        <v>000011-2018-FE</v>
      </c>
      <c r="D191" s="4">
        <v>126795927</v>
      </c>
      <c r="E191" s="5">
        <v>43417</v>
      </c>
      <c r="F191" s="4">
        <v>1699</v>
      </c>
      <c r="G191" s="4">
        <v>170</v>
      </c>
      <c r="H191" s="4" t="s">
        <v>189</v>
      </c>
      <c r="I191" s="4" t="s">
        <v>190</v>
      </c>
      <c r="J191" s="4" t="s">
        <v>191</v>
      </c>
      <c r="K191" s="4" t="s">
        <v>192</v>
      </c>
      <c r="L191" s="4">
        <v>947.36</v>
      </c>
      <c r="M191" s="4">
        <v>947.36</v>
      </c>
      <c r="N191" s="4"/>
      <c r="O191" s="4"/>
      <c r="P191" s="4" t="s">
        <v>20</v>
      </c>
    </row>
    <row r="192" spans="1:16" x14ac:dyDescent="0.25">
      <c r="A192" s="4" t="s">
        <v>17</v>
      </c>
      <c r="B192" s="5">
        <v>43404</v>
      </c>
      <c r="C192" s="4" t="str">
        <f>"000731"</f>
        <v>000731</v>
      </c>
      <c r="D192" s="4">
        <v>126009286</v>
      </c>
      <c r="E192" s="5">
        <v>43423</v>
      </c>
      <c r="F192" s="4">
        <v>1714</v>
      </c>
      <c r="G192" s="4">
        <v>4685</v>
      </c>
      <c r="H192" s="4" t="s">
        <v>173</v>
      </c>
      <c r="I192" s="4"/>
      <c r="J192" s="4" t="s">
        <v>174</v>
      </c>
      <c r="K192" s="4"/>
      <c r="L192" s="6">
        <v>4709.3</v>
      </c>
      <c r="M192" s="6">
        <v>3459.39</v>
      </c>
      <c r="N192" s="5">
        <v>43404</v>
      </c>
      <c r="O192" s="5">
        <v>44672</v>
      </c>
      <c r="P192" s="4" t="s">
        <v>24</v>
      </c>
    </row>
    <row r="193" spans="1:16" x14ac:dyDescent="0.25">
      <c r="A193" s="4" t="s">
        <v>17</v>
      </c>
      <c r="B193" s="5">
        <v>43404</v>
      </c>
      <c r="C193" s="4" t="str">
        <f>"000731"</f>
        <v>000731</v>
      </c>
      <c r="D193" s="4">
        <v>126009286</v>
      </c>
      <c r="E193" s="5">
        <v>43423</v>
      </c>
      <c r="F193" s="4">
        <v>1714</v>
      </c>
      <c r="G193" s="4">
        <v>4685</v>
      </c>
      <c r="H193" s="4" t="s">
        <v>173</v>
      </c>
      <c r="I193" s="4"/>
      <c r="J193" s="4" t="s">
        <v>174</v>
      </c>
      <c r="K193" s="4"/>
      <c r="L193" s="6">
        <v>4709.3</v>
      </c>
      <c r="M193" s="4">
        <v>400.69</v>
      </c>
      <c r="N193" s="5">
        <v>43434</v>
      </c>
      <c r="O193" s="5">
        <v>44672</v>
      </c>
      <c r="P193" s="4" t="s">
        <v>24</v>
      </c>
    </row>
    <row r="194" spans="1:16" x14ac:dyDescent="0.25">
      <c r="A194" s="4" t="s">
        <v>17</v>
      </c>
      <c r="B194" s="5">
        <v>43385</v>
      </c>
      <c r="C194" s="4" t="str">
        <f>"7X04109995"</f>
        <v>7X04109995</v>
      </c>
      <c r="D194" s="4">
        <v>124373464</v>
      </c>
      <c r="E194" s="5">
        <v>43396</v>
      </c>
      <c r="F194" s="4">
        <v>1636</v>
      </c>
      <c r="G194" s="4">
        <v>3564</v>
      </c>
      <c r="H194" s="4" t="s">
        <v>37</v>
      </c>
      <c r="I194" s="4">
        <v>488410010</v>
      </c>
      <c r="J194" s="4" t="s">
        <v>38</v>
      </c>
      <c r="K194" s="4" t="s">
        <v>197</v>
      </c>
      <c r="L194" s="4">
        <v>84.16</v>
      </c>
      <c r="M194" s="4">
        <v>68.98</v>
      </c>
      <c r="N194" s="5">
        <v>43461</v>
      </c>
      <c r="O194" s="4"/>
      <c r="P194" s="4" t="s">
        <v>104</v>
      </c>
    </row>
    <row r="195" spans="1:16" x14ac:dyDescent="0.25">
      <c r="A195" s="4" t="s">
        <v>17</v>
      </c>
      <c r="B195" s="5">
        <v>43383</v>
      </c>
      <c r="C195" s="4" t="str">
        <f>"000010-2018-FE"</f>
        <v>000010-2018-FE</v>
      </c>
      <c r="D195" s="4">
        <v>122467694</v>
      </c>
      <c r="E195" s="5">
        <v>43385</v>
      </c>
      <c r="F195" s="4">
        <v>1584</v>
      </c>
      <c r="G195" s="4">
        <v>170</v>
      </c>
      <c r="H195" s="4" t="s">
        <v>189</v>
      </c>
      <c r="I195" s="4" t="s">
        <v>190</v>
      </c>
      <c r="J195" s="4" t="s">
        <v>191</v>
      </c>
      <c r="K195" s="4" t="s">
        <v>192</v>
      </c>
      <c r="L195" s="4">
        <v>916.8</v>
      </c>
      <c r="M195" s="4">
        <v>916.8</v>
      </c>
      <c r="N195" s="4"/>
      <c r="O195" s="4"/>
      <c r="P195" s="4" t="s">
        <v>20</v>
      </c>
    </row>
    <row r="196" spans="1:16" x14ac:dyDescent="0.25">
      <c r="A196" s="4" t="s">
        <v>17</v>
      </c>
      <c r="B196" s="5">
        <v>43368</v>
      </c>
      <c r="C196" s="4" t="str">
        <f>"6820180916001335"</f>
        <v>6820180916001335</v>
      </c>
      <c r="D196" s="4">
        <v>120475067</v>
      </c>
      <c r="E196" s="5">
        <v>43382</v>
      </c>
      <c r="F196" s="4">
        <v>1538</v>
      </c>
      <c r="G196" s="4">
        <v>3564</v>
      </c>
      <c r="H196" s="4" t="s">
        <v>37</v>
      </c>
      <c r="I196" s="4">
        <v>488410010</v>
      </c>
      <c r="J196" s="4" t="s">
        <v>38</v>
      </c>
      <c r="K196" s="4" t="s">
        <v>198</v>
      </c>
      <c r="L196" s="6">
        <v>1515.25</v>
      </c>
      <c r="M196" s="6">
        <v>1242.01</v>
      </c>
      <c r="N196" s="4"/>
      <c r="O196" s="4"/>
      <c r="P196" s="4" t="s">
        <v>40</v>
      </c>
    </row>
    <row r="197" spans="1:16" x14ac:dyDescent="0.25">
      <c r="A197" s="4" t="s">
        <v>17</v>
      </c>
      <c r="B197" s="5">
        <v>43368</v>
      </c>
      <c r="C197" s="4" t="str">
        <f>"6820180916001336"</f>
        <v>6820180916001336</v>
      </c>
      <c r="D197" s="4">
        <v>120475076</v>
      </c>
      <c r="E197" s="5">
        <v>43382</v>
      </c>
      <c r="F197" s="4">
        <v>1539</v>
      </c>
      <c r="G197" s="4">
        <v>3564</v>
      </c>
      <c r="H197" s="4" t="s">
        <v>37</v>
      </c>
      <c r="I197" s="4">
        <v>488410010</v>
      </c>
      <c r="J197" s="4" t="s">
        <v>38</v>
      </c>
      <c r="K197" s="4" t="s">
        <v>198</v>
      </c>
      <c r="L197" s="6">
        <v>14939.64</v>
      </c>
      <c r="M197" s="6">
        <v>12245.61</v>
      </c>
      <c r="N197" s="4"/>
      <c r="O197" s="4"/>
      <c r="P197" s="4" t="s">
        <v>40</v>
      </c>
    </row>
    <row r="198" spans="1:16" x14ac:dyDescent="0.25">
      <c r="A198" s="4" t="s">
        <v>17</v>
      </c>
      <c r="B198" s="5">
        <v>43361</v>
      </c>
      <c r="C198" s="4" t="str">
        <f>"31/PA"</f>
        <v>31/PA</v>
      </c>
      <c r="D198" s="4">
        <v>119369078</v>
      </c>
      <c r="E198" s="5">
        <v>43370</v>
      </c>
      <c r="F198" s="4">
        <v>1447</v>
      </c>
      <c r="G198" s="4">
        <v>4842</v>
      </c>
      <c r="H198" s="4" t="s">
        <v>199</v>
      </c>
      <c r="I198" s="4">
        <v>5548120822</v>
      </c>
      <c r="J198" s="4" t="s">
        <v>200</v>
      </c>
      <c r="K198" s="4" t="s">
        <v>201</v>
      </c>
      <c r="L198" s="6">
        <v>2439.3200000000002</v>
      </c>
      <c r="M198" s="6">
        <v>2323.16</v>
      </c>
      <c r="N198" s="5">
        <v>43404</v>
      </c>
      <c r="O198" s="4"/>
      <c r="P198" s="4" t="s">
        <v>20</v>
      </c>
    </row>
    <row r="199" spans="1:16" x14ac:dyDescent="0.25">
      <c r="A199" s="4" t="s">
        <v>17</v>
      </c>
      <c r="B199" s="5">
        <v>43332</v>
      </c>
      <c r="C199" s="4" t="str">
        <f>"2V18003399"</f>
        <v>2V18003399</v>
      </c>
      <c r="D199" s="4">
        <v>115396108</v>
      </c>
      <c r="E199" s="5">
        <v>43349</v>
      </c>
      <c r="F199" s="4">
        <v>1322</v>
      </c>
      <c r="G199" s="4">
        <v>3564</v>
      </c>
      <c r="H199" s="4" t="s">
        <v>37</v>
      </c>
      <c r="I199" s="4">
        <v>488410010</v>
      </c>
      <c r="J199" s="4" t="s">
        <v>38</v>
      </c>
      <c r="K199" s="7">
        <v>43313</v>
      </c>
      <c r="L199" s="4">
        <v>12.82</v>
      </c>
      <c r="M199" s="4">
        <v>10.51</v>
      </c>
      <c r="N199" s="5">
        <v>43403</v>
      </c>
      <c r="O199" s="4"/>
      <c r="P199" s="4" t="s">
        <v>40</v>
      </c>
    </row>
    <row r="200" spans="1:16" x14ac:dyDescent="0.25">
      <c r="A200" s="4" t="s">
        <v>17</v>
      </c>
      <c r="B200" s="5">
        <v>43306</v>
      </c>
      <c r="C200" s="4" t="str">
        <f>"1"</f>
        <v>1</v>
      </c>
      <c r="D200" s="4">
        <v>111768340</v>
      </c>
      <c r="E200" s="5">
        <v>43325</v>
      </c>
      <c r="F200" s="4">
        <v>1013</v>
      </c>
      <c r="G200" s="4">
        <v>4932</v>
      </c>
      <c r="H200" s="4" t="s">
        <v>202</v>
      </c>
      <c r="I200" s="4">
        <v>1351820814</v>
      </c>
      <c r="J200" s="4" t="s">
        <v>203</v>
      </c>
      <c r="K200" s="4" t="s">
        <v>204</v>
      </c>
      <c r="L200" s="4">
        <v>962.05</v>
      </c>
      <c r="M200" s="4">
        <v>916.24</v>
      </c>
      <c r="N200" s="5">
        <v>43350</v>
      </c>
      <c r="O200" s="4"/>
      <c r="P200" s="4" t="s">
        <v>148</v>
      </c>
    </row>
    <row r="201" spans="1:16" x14ac:dyDescent="0.25">
      <c r="A201" s="4" t="s">
        <v>17</v>
      </c>
      <c r="B201" s="5">
        <v>43281</v>
      </c>
      <c r="C201" s="4" t="str">
        <f>"188/2018"</f>
        <v>188/2018</v>
      </c>
      <c r="D201" s="4">
        <v>108941283</v>
      </c>
      <c r="E201" s="5">
        <v>43329</v>
      </c>
      <c r="F201" s="4">
        <v>1079</v>
      </c>
      <c r="G201" s="4">
        <v>4718</v>
      </c>
      <c r="H201" s="4" t="s">
        <v>205</v>
      </c>
      <c r="I201" s="4"/>
      <c r="J201" s="4" t="s">
        <v>206</v>
      </c>
      <c r="K201" s="4" t="s">
        <v>207</v>
      </c>
      <c r="L201" s="4">
        <v>151.57</v>
      </c>
      <c r="M201" s="4">
        <v>124.24</v>
      </c>
      <c r="N201" s="5">
        <v>43311</v>
      </c>
      <c r="O201" s="4"/>
      <c r="P201" s="4" t="s">
        <v>24</v>
      </c>
    </row>
    <row r="202" spans="1:16" x14ac:dyDescent="0.25">
      <c r="A202" s="4" t="s">
        <v>70</v>
      </c>
      <c r="B202" s="5">
        <v>43270</v>
      </c>
      <c r="C202" s="4" t="str">
        <f>"C12020181100038790"</f>
        <v>C12020181100038790</v>
      </c>
      <c r="D202" s="4">
        <v>107768711</v>
      </c>
      <c r="E202" s="5">
        <v>43286</v>
      </c>
      <c r="F202" s="4">
        <v>923</v>
      </c>
      <c r="G202" s="4">
        <v>3564</v>
      </c>
      <c r="H202" s="4" t="s">
        <v>37</v>
      </c>
      <c r="I202" s="4">
        <v>488410010</v>
      </c>
      <c r="J202" s="4" t="s">
        <v>38</v>
      </c>
      <c r="K202" s="4">
        <v>5002174485</v>
      </c>
      <c r="L202" s="4">
        <v>-133.59</v>
      </c>
      <c r="M202" s="4">
        <v>-109.5</v>
      </c>
      <c r="N202" s="5">
        <v>43300</v>
      </c>
      <c r="O202" s="4"/>
      <c r="P202" s="4" t="s">
        <v>104</v>
      </c>
    </row>
    <row r="203" spans="1:16" x14ac:dyDescent="0.25">
      <c r="A203" s="4" t="s">
        <v>17</v>
      </c>
      <c r="B203" s="5">
        <v>43265</v>
      </c>
      <c r="C203" s="4" t="str">
        <f>"4018004879"</f>
        <v>4018004879</v>
      </c>
      <c r="D203" s="4">
        <v>107130653</v>
      </c>
      <c r="E203" s="5">
        <v>43325</v>
      </c>
      <c r="F203" s="4">
        <v>1011</v>
      </c>
      <c r="G203" s="4">
        <v>3233</v>
      </c>
      <c r="H203" s="4" t="s">
        <v>208</v>
      </c>
      <c r="I203" s="4">
        <v>97103880585</v>
      </c>
      <c r="J203" s="4" t="s">
        <v>209</v>
      </c>
      <c r="K203" s="4" t="s">
        <v>210</v>
      </c>
      <c r="L203" s="4">
        <v>544.9</v>
      </c>
      <c r="M203" s="4">
        <v>544.9</v>
      </c>
      <c r="N203" s="5">
        <v>43295</v>
      </c>
      <c r="O203" s="4"/>
      <c r="P203" s="4" t="s">
        <v>148</v>
      </c>
    </row>
    <row r="204" spans="1:16" x14ac:dyDescent="0.25">
      <c r="A204" s="4" t="s">
        <v>17</v>
      </c>
      <c r="B204" s="5">
        <v>43208</v>
      </c>
      <c r="C204" s="4" t="str">
        <f>"C12020181000391323"</f>
        <v>C12020181000391323</v>
      </c>
      <c r="D204" s="4">
        <v>101939438</v>
      </c>
      <c r="E204" s="5">
        <v>43214</v>
      </c>
      <c r="F204" s="4">
        <v>623</v>
      </c>
      <c r="G204" s="4">
        <v>3564</v>
      </c>
      <c r="H204" s="4" t="s">
        <v>37</v>
      </c>
      <c r="I204" s="4">
        <v>488410010</v>
      </c>
      <c r="J204" s="4" t="s">
        <v>38</v>
      </c>
      <c r="K204" s="4">
        <v>4018462457</v>
      </c>
      <c r="L204" s="6">
        <v>2671.8</v>
      </c>
      <c r="M204" s="6">
        <v>2190</v>
      </c>
      <c r="N204" s="4"/>
      <c r="O204" s="4"/>
      <c r="P204" s="4" t="s">
        <v>104</v>
      </c>
    </row>
    <row r="205" spans="1:16" x14ac:dyDescent="0.25">
      <c r="A205" s="4" t="s">
        <v>17</v>
      </c>
      <c r="B205" s="5">
        <v>43206</v>
      </c>
      <c r="C205" s="4" t="str">
        <f>"7X01319744"</f>
        <v>7X01319744</v>
      </c>
      <c r="D205" s="4">
        <v>102255672</v>
      </c>
      <c r="E205" s="5">
        <v>43216</v>
      </c>
      <c r="F205" s="4">
        <v>630</v>
      </c>
      <c r="G205" s="4">
        <v>3564</v>
      </c>
      <c r="H205" s="4" t="s">
        <v>37</v>
      </c>
      <c r="I205" s="4">
        <v>488410010</v>
      </c>
      <c r="J205" s="4" t="s">
        <v>38</v>
      </c>
      <c r="K205" s="4" t="s">
        <v>211</v>
      </c>
      <c r="L205" s="4">
        <v>84.16</v>
      </c>
      <c r="M205" s="4">
        <v>68.98</v>
      </c>
      <c r="N205" s="5">
        <v>43276</v>
      </c>
      <c r="O205" s="4"/>
      <c r="P205" s="4" t="s">
        <v>104</v>
      </c>
    </row>
    <row r="206" spans="1:16" x14ac:dyDescent="0.25">
      <c r="A206" s="4" t="s">
        <v>70</v>
      </c>
      <c r="B206" s="5">
        <v>43196</v>
      </c>
      <c r="C206" s="4" t="str">
        <f>"8V00148203"</f>
        <v>8V00148203</v>
      </c>
      <c r="D206" s="4">
        <v>101318646</v>
      </c>
      <c r="E206" s="5">
        <v>43208</v>
      </c>
      <c r="F206" s="4">
        <v>566</v>
      </c>
      <c r="G206" s="4">
        <v>3564</v>
      </c>
      <c r="H206" s="4" t="s">
        <v>37</v>
      </c>
      <c r="I206" s="4">
        <v>488410010</v>
      </c>
      <c r="J206" s="4" t="s">
        <v>38</v>
      </c>
      <c r="K206" s="4" t="s">
        <v>211</v>
      </c>
      <c r="L206" s="4">
        <v>-131.44</v>
      </c>
      <c r="M206" s="4">
        <v>-125.57</v>
      </c>
      <c r="N206" s="4"/>
      <c r="O206" s="4"/>
      <c r="P206" s="4" t="s">
        <v>20</v>
      </c>
    </row>
    <row r="207" spans="1:16" x14ac:dyDescent="0.25">
      <c r="A207" s="4" t="s">
        <v>70</v>
      </c>
      <c r="B207" s="5">
        <v>43188</v>
      </c>
      <c r="C207" s="4" t="str">
        <f>"VL18601612"</f>
        <v>VL18601612</v>
      </c>
      <c r="D207" s="4">
        <v>99618509</v>
      </c>
      <c r="E207" s="5">
        <v>43193</v>
      </c>
      <c r="F207" s="4">
        <v>516</v>
      </c>
      <c r="G207" s="4">
        <v>2320</v>
      </c>
      <c r="H207" s="4" t="s">
        <v>98</v>
      </c>
      <c r="I207" s="4">
        <v>5892970152</v>
      </c>
      <c r="J207" s="4" t="s">
        <v>99</v>
      </c>
      <c r="K207" s="4" t="s">
        <v>212</v>
      </c>
      <c r="L207" s="6">
        <v>-1874.06</v>
      </c>
      <c r="M207" s="6">
        <v>-1801.98</v>
      </c>
      <c r="N207" s="4"/>
      <c r="O207" s="4"/>
      <c r="P207" s="4" t="s">
        <v>40</v>
      </c>
    </row>
    <row r="208" spans="1:16" x14ac:dyDescent="0.25">
      <c r="A208" s="4" t="s">
        <v>17</v>
      </c>
      <c r="B208" s="5">
        <v>43159</v>
      </c>
      <c r="C208" s="4" t="str">
        <f>"2/ELE"</f>
        <v>2/ELE</v>
      </c>
      <c r="D208" s="4">
        <v>96646693</v>
      </c>
      <c r="E208" s="5">
        <v>43164</v>
      </c>
      <c r="F208" s="4">
        <v>345</v>
      </c>
      <c r="G208" s="4">
        <v>4898</v>
      </c>
      <c r="H208" s="4" t="s">
        <v>213</v>
      </c>
      <c r="I208" s="4">
        <v>2077630818</v>
      </c>
      <c r="J208" s="4" t="s">
        <v>214</v>
      </c>
      <c r="K208" s="4"/>
      <c r="L208" s="4">
        <v>391.14</v>
      </c>
      <c r="M208" s="4">
        <v>320.60000000000002</v>
      </c>
      <c r="N208" s="4"/>
      <c r="O208" s="4"/>
      <c r="P208" s="4" t="s">
        <v>24</v>
      </c>
    </row>
    <row r="209" spans="1:16" x14ac:dyDescent="0.25">
      <c r="A209" s="4" t="s">
        <v>17</v>
      </c>
      <c r="B209" s="5">
        <v>43159</v>
      </c>
      <c r="C209" s="4" t="str">
        <f>"3/ELE"</f>
        <v>3/ELE</v>
      </c>
      <c r="D209" s="4">
        <v>96650089</v>
      </c>
      <c r="E209" s="5">
        <v>43164</v>
      </c>
      <c r="F209" s="4">
        <v>346</v>
      </c>
      <c r="G209" s="4">
        <v>4898</v>
      </c>
      <c r="H209" s="4" t="s">
        <v>213</v>
      </c>
      <c r="I209" s="4">
        <v>2077630818</v>
      </c>
      <c r="J209" s="4" t="s">
        <v>214</v>
      </c>
      <c r="K209" s="4"/>
      <c r="L209" s="4">
        <v>441.4</v>
      </c>
      <c r="M209" s="4">
        <v>361.8</v>
      </c>
      <c r="N209" s="4"/>
      <c r="O209" s="4"/>
      <c r="P209" s="4" t="s">
        <v>24</v>
      </c>
    </row>
    <row r="210" spans="1:16" x14ac:dyDescent="0.25">
      <c r="A210" s="4" t="s">
        <v>70</v>
      </c>
      <c r="B210" s="5">
        <v>43145</v>
      </c>
      <c r="C210" s="4" t="str">
        <f>"7X00891137"</f>
        <v>7X00891137</v>
      </c>
      <c r="D210" s="4">
        <v>96198737</v>
      </c>
      <c r="E210" s="5">
        <v>43157</v>
      </c>
      <c r="F210" s="4">
        <v>321</v>
      </c>
      <c r="G210" s="4">
        <v>3564</v>
      </c>
      <c r="H210" s="4" t="s">
        <v>37</v>
      </c>
      <c r="I210" s="4">
        <v>488410010</v>
      </c>
      <c r="J210" s="4" t="s">
        <v>38</v>
      </c>
      <c r="K210" s="4" t="s">
        <v>215</v>
      </c>
      <c r="L210" s="4">
        <v>-27.61</v>
      </c>
      <c r="M210" s="4">
        <v>-59.52</v>
      </c>
      <c r="N210" s="4"/>
      <c r="O210" s="4"/>
      <c r="P210" s="4" t="s">
        <v>104</v>
      </c>
    </row>
    <row r="211" spans="1:16" x14ac:dyDescent="0.25">
      <c r="A211" s="4" t="s">
        <v>17</v>
      </c>
      <c r="B211" s="5">
        <v>43137</v>
      </c>
      <c r="C211" s="4" t="str">
        <f>"8V00063365"</f>
        <v>8V00063365</v>
      </c>
      <c r="D211" s="4">
        <v>95997347</v>
      </c>
      <c r="E211" s="5">
        <v>43167</v>
      </c>
      <c r="F211" s="4">
        <v>368</v>
      </c>
      <c r="G211" s="4">
        <v>3564</v>
      </c>
      <c r="H211" s="4" t="s">
        <v>37</v>
      </c>
      <c r="I211" s="4">
        <v>488410010</v>
      </c>
      <c r="J211" s="4" t="s">
        <v>38</v>
      </c>
      <c r="K211" s="4" t="s">
        <v>215</v>
      </c>
      <c r="L211" s="4">
        <v>21.14</v>
      </c>
      <c r="M211" s="4">
        <v>17.329999999999998</v>
      </c>
      <c r="N211" s="5">
        <v>43220</v>
      </c>
      <c r="O211" s="4"/>
      <c r="P211" s="4" t="s">
        <v>40</v>
      </c>
    </row>
    <row r="212" spans="1:16" x14ac:dyDescent="0.25">
      <c r="A212" s="4" t="s">
        <v>17</v>
      </c>
      <c r="B212" s="5">
        <v>43131</v>
      </c>
      <c r="C212" s="4" t="str">
        <f>"1"</f>
        <v>1</v>
      </c>
      <c r="D212" s="4">
        <v>93926432</v>
      </c>
      <c r="E212" s="5">
        <v>43140</v>
      </c>
      <c r="F212" s="4">
        <v>250</v>
      </c>
      <c r="G212" s="4">
        <v>4521</v>
      </c>
      <c r="H212" s="4" t="s">
        <v>216</v>
      </c>
      <c r="I212" s="4">
        <v>2927370839</v>
      </c>
      <c r="J212" s="4" t="s">
        <v>217</v>
      </c>
      <c r="K212" s="4" t="s">
        <v>218</v>
      </c>
      <c r="L212" s="6">
        <v>100094.97</v>
      </c>
      <c r="M212" s="6">
        <v>90995.43</v>
      </c>
      <c r="N212" s="5">
        <v>43132</v>
      </c>
      <c r="O212" s="4"/>
      <c r="P212" s="4" t="s">
        <v>24</v>
      </c>
    </row>
    <row r="213" spans="1:16" x14ac:dyDescent="0.25">
      <c r="A213" s="4" t="s">
        <v>17</v>
      </c>
      <c r="B213" s="5">
        <v>43126</v>
      </c>
      <c r="C213" s="4" t="str">
        <f>"6820180116002114"</f>
        <v>6820180116002114</v>
      </c>
      <c r="D213" s="4">
        <v>93771158</v>
      </c>
      <c r="E213" s="5">
        <v>43132</v>
      </c>
      <c r="F213" s="4">
        <v>215</v>
      </c>
      <c r="G213" s="4">
        <v>3564</v>
      </c>
      <c r="H213" s="4" t="s">
        <v>37</v>
      </c>
      <c r="I213" s="4">
        <v>488410010</v>
      </c>
      <c r="J213" s="4" t="s">
        <v>38</v>
      </c>
      <c r="K213" s="4" t="s">
        <v>180</v>
      </c>
      <c r="L213" s="4">
        <v>292.8</v>
      </c>
      <c r="M213" s="4">
        <v>240</v>
      </c>
      <c r="N213" s="4"/>
      <c r="O213" s="4"/>
      <c r="P213" s="4" t="s">
        <v>40</v>
      </c>
    </row>
    <row r="214" spans="1:16" x14ac:dyDescent="0.25">
      <c r="A214" s="4" t="s">
        <v>17</v>
      </c>
      <c r="B214" s="5">
        <v>43124</v>
      </c>
      <c r="C214" s="4" t="str">
        <f>"C12020181000092914"</f>
        <v>C12020181000092914</v>
      </c>
      <c r="D214" s="4">
        <v>93396145</v>
      </c>
      <c r="E214" s="5">
        <v>43130</v>
      </c>
      <c r="F214" s="4">
        <v>195</v>
      </c>
      <c r="G214" s="4">
        <v>3564</v>
      </c>
      <c r="H214" s="4" t="s">
        <v>37</v>
      </c>
      <c r="I214" s="4">
        <v>488410010</v>
      </c>
      <c r="J214" s="4" t="s">
        <v>38</v>
      </c>
      <c r="K214" s="4">
        <v>4018001836</v>
      </c>
      <c r="L214" s="6">
        <v>1407.49</v>
      </c>
      <c r="M214" s="6">
        <v>1153.68</v>
      </c>
      <c r="N214" s="4"/>
      <c r="O214" s="4"/>
      <c r="P214" s="4" t="s">
        <v>104</v>
      </c>
    </row>
    <row r="215" spans="1:16" x14ac:dyDescent="0.25">
      <c r="A215" s="4" t="s">
        <v>17</v>
      </c>
      <c r="B215" s="5">
        <v>43119</v>
      </c>
      <c r="C215" s="4" t="str">
        <f>"01/2018"</f>
        <v>01/2018</v>
      </c>
      <c r="D215" s="4">
        <v>93032403</v>
      </c>
      <c r="E215" s="5">
        <v>43136</v>
      </c>
      <c r="F215" s="4">
        <v>225</v>
      </c>
      <c r="G215" s="4">
        <v>3230</v>
      </c>
      <c r="H215" s="4" t="s">
        <v>219</v>
      </c>
      <c r="I215" s="4"/>
      <c r="J215" s="4" t="s">
        <v>220</v>
      </c>
      <c r="K215" s="4" t="s">
        <v>221</v>
      </c>
      <c r="L215" s="6">
        <v>1012.6</v>
      </c>
      <c r="M215" s="4">
        <v>830</v>
      </c>
      <c r="N215" s="4"/>
      <c r="O215" s="4"/>
      <c r="P215" s="4" t="s">
        <v>20</v>
      </c>
    </row>
    <row r="216" spans="1:16" x14ac:dyDescent="0.25">
      <c r="A216" s="4" t="s">
        <v>17</v>
      </c>
      <c r="B216" s="5">
        <v>43070</v>
      </c>
      <c r="C216" s="4" t="str">
        <f>"330"</f>
        <v>330</v>
      </c>
      <c r="D216" s="4">
        <v>90027557</v>
      </c>
      <c r="E216" s="5">
        <v>43160</v>
      </c>
      <c r="F216" s="4">
        <v>336</v>
      </c>
      <c r="G216" s="4">
        <v>4508</v>
      </c>
      <c r="H216" s="4" t="s">
        <v>222</v>
      </c>
      <c r="I216" s="4"/>
      <c r="J216" s="4" t="s">
        <v>223</v>
      </c>
      <c r="K216" s="4"/>
      <c r="L216" s="6">
        <v>18883.04</v>
      </c>
      <c r="M216" s="6">
        <v>5722.13</v>
      </c>
      <c r="N216" s="5">
        <v>43100</v>
      </c>
      <c r="O216" s="4"/>
      <c r="P216" s="4" t="s">
        <v>24</v>
      </c>
    </row>
    <row r="217" spans="1:16" x14ac:dyDescent="0.25">
      <c r="A217" s="4" t="s">
        <v>17</v>
      </c>
      <c r="B217" s="5">
        <v>43069</v>
      </c>
      <c r="C217" s="4" t="str">
        <f>"53/"</f>
        <v>53/</v>
      </c>
      <c r="D217" s="4">
        <v>89325818</v>
      </c>
      <c r="E217" s="5">
        <v>43096</v>
      </c>
      <c r="F217" s="4">
        <v>1793</v>
      </c>
      <c r="G217" s="4">
        <v>718</v>
      </c>
      <c r="H217" s="4" t="s">
        <v>224</v>
      </c>
      <c r="I217" s="4">
        <v>3486970829</v>
      </c>
      <c r="J217" s="4" t="s">
        <v>225</v>
      </c>
      <c r="K217" s="4"/>
      <c r="L217" s="6">
        <v>24693.200000000001</v>
      </c>
      <c r="M217" s="6">
        <v>7482.79</v>
      </c>
      <c r="N217" s="5">
        <v>43099</v>
      </c>
      <c r="O217" s="4"/>
      <c r="P217" s="4" t="s">
        <v>24</v>
      </c>
    </row>
    <row r="218" spans="1:16" x14ac:dyDescent="0.25">
      <c r="A218" s="4" t="s">
        <v>17</v>
      </c>
      <c r="B218" s="5">
        <v>43069</v>
      </c>
      <c r="C218" s="4" t="str">
        <f>"610/2017"</f>
        <v>610/2017</v>
      </c>
      <c r="D218" s="4">
        <v>89745446</v>
      </c>
      <c r="E218" s="5">
        <v>43160</v>
      </c>
      <c r="F218" s="4">
        <v>335</v>
      </c>
      <c r="G218" s="4">
        <v>4509</v>
      </c>
      <c r="H218" s="4" t="s">
        <v>226</v>
      </c>
      <c r="I218" s="4"/>
      <c r="J218" s="4" t="s">
        <v>227</v>
      </c>
      <c r="K218" s="4" t="s">
        <v>228</v>
      </c>
      <c r="L218" s="6">
        <v>4841.8</v>
      </c>
      <c r="M218" s="6">
        <v>1467.21</v>
      </c>
      <c r="N218" s="5">
        <v>43099</v>
      </c>
      <c r="O218" s="4"/>
      <c r="P218" s="4" t="s">
        <v>24</v>
      </c>
    </row>
    <row r="219" spans="1:16" x14ac:dyDescent="0.25">
      <c r="A219" s="4" t="s">
        <v>17</v>
      </c>
      <c r="B219" s="5">
        <v>43068</v>
      </c>
      <c r="C219" s="4" t="str">
        <f>"6820171116002194"</f>
        <v>6820171116002194</v>
      </c>
      <c r="D219" s="4">
        <v>88317398</v>
      </c>
      <c r="E219" s="5">
        <v>43070</v>
      </c>
      <c r="F219" s="4">
        <v>1721</v>
      </c>
      <c r="G219" s="4">
        <v>3564</v>
      </c>
      <c r="H219" s="4" t="s">
        <v>37</v>
      </c>
      <c r="I219" s="4">
        <v>488410010</v>
      </c>
      <c r="J219" s="4" t="s">
        <v>38</v>
      </c>
      <c r="K219" s="4" t="s">
        <v>180</v>
      </c>
      <c r="L219" s="4">
        <v>292.8</v>
      </c>
      <c r="M219" s="4">
        <v>240</v>
      </c>
      <c r="N219" s="4"/>
      <c r="O219" s="4"/>
      <c r="P219" s="4" t="s">
        <v>20</v>
      </c>
    </row>
    <row r="220" spans="1:16" x14ac:dyDescent="0.25">
      <c r="A220" s="4" t="s">
        <v>17</v>
      </c>
      <c r="B220" s="5">
        <v>43053</v>
      </c>
      <c r="C220" s="4" t="str">
        <f>"4017009069"</f>
        <v>4017009069</v>
      </c>
      <c r="D220" s="4">
        <v>86790552</v>
      </c>
      <c r="E220" s="5">
        <v>43056</v>
      </c>
      <c r="F220" s="4">
        <v>1578</v>
      </c>
      <c r="G220" s="4">
        <v>3233</v>
      </c>
      <c r="H220" s="4" t="s">
        <v>208</v>
      </c>
      <c r="I220" s="4">
        <v>97103880585</v>
      </c>
      <c r="J220" s="4" t="s">
        <v>209</v>
      </c>
      <c r="K220" s="4" t="s">
        <v>229</v>
      </c>
      <c r="L220" s="4">
        <v>529.70000000000005</v>
      </c>
      <c r="M220" s="4">
        <v>529.70000000000005</v>
      </c>
      <c r="N220" s="4"/>
      <c r="O220" s="4"/>
      <c r="P220" s="4" t="s">
        <v>40</v>
      </c>
    </row>
    <row r="221" spans="1:16" x14ac:dyDescent="0.25">
      <c r="A221" s="4" t="s">
        <v>17</v>
      </c>
      <c r="B221" s="5">
        <v>43041</v>
      </c>
      <c r="C221" s="4" t="str">
        <f>"7/PNL/FPA"</f>
        <v>7/PNL/FPA</v>
      </c>
      <c r="D221" s="4">
        <v>85633654</v>
      </c>
      <c r="E221" s="5">
        <v>43060</v>
      </c>
      <c r="F221" s="4">
        <v>1582</v>
      </c>
      <c r="G221" s="4">
        <v>466</v>
      </c>
      <c r="H221" s="4" t="s">
        <v>27</v>
      </c>
      <c r="I221" s="4">
        <v>3620860829</v>
      </c>
      <c r="J221" s="4" t="s">
        <v>28</v>
      </c>
      <c r="K221" s="4" t="s">
        <v>230</v>
      </c>
      <c r="L221" s="6">
        <v>3385.9</v>
      </c>
      <c r="M221" s="6">
        <v>2778.21</v>
      </c>
      <c r="N221" s="5">
        <v>43071</v>
      </c>
      <c r="O221" s="5">
        <v>44635</v>
      </c>
      <c r="P221" s="4" t="s">
        <v>24</v>
      </c>
    </row>
    <row r="222" spans="1:16" x14ac:dyDescent="0.25">
      <c r="A222" s="4" t="s">
        <v>17</v>
      </c>
      <c r="B222" s="5">
        <v>43041</v>
      </c>
      <c r="C222" s="4" t="str">
        <f>"8/PNL/FPA"</f>
        <v>8/PNL/FPA</v>
      </c>
      <c r="D222" s="4">
        <v>85633653</v>
      </c>
      <c r="E222" s="5">
        <v>43060</v>
      </c>
      <c r="F222" s="4">
        <v>1583</v>
      </c>
      <c r="G222" s="4">
        <v>466</v>
      </c>
      <c r="H222" s="4" t="s">
        <v>27</v>
      </c>
      <c r="I222" s="4">
        <v>3620860829</v>
      </c>
      <c r="J222" s="4" t="s">
        <v>28</v>
      </c>
      <c r="K222" s="4" t="s">
        <v>231</v>
      </c>
      <c r="L222" s="6">
        <v>3272.74</v>
      </c>
      <c r="M222" s="6">
        <v>2685.46</v>
      </c>
      <c r="N222" s="5">
        <v>43071</v>
      </c>
      <c r="O222" s="5">
        <v>44635</v>
      </c>
      <c r="P222" s="4" t="s">
        <v>24</v>
      </c>
    </row>
    <row r="223" spans="1:16" x14ac:dyDescent="0.25">
      <c r="A223" s="4" t="s">
        <v>17</v>
      </c>
      <c r="B223" s="5">
        <v>43013</v>
      </c>
      <c r="C223" s="4" t="str">
        <f>"8V00543347"</f>
        <v>8V00543347</v>
      </c>
      <c r="D223" s="4">
        <v>85012934</v>
      </c>
      <c r="E223" s="5">
        <v>43035</v>
      </c>
      <c r="F223" s="4">
        <v>1478</v>
      </c>
      <c r="G223" s="4">
        <v>3564</v>
      </c>
      <c r="H223" s="4" t="s">
        <v>37</v>
      </c>
      <c r="I223" s="4">
        <v>488410010</v>
      </c>
      <c r="J223" s="4" t="s">
        <v>38</v>
      </c>
      <c r="K223" s="4" t="s">
        <v>232</v>
      </c>
      <c r="L223" s="4">
        <v>-34.04</v>
      </c>
      <c r="M223" s="4">
        <v>-27.9</v>
      </c>
      <c r="N223" s="5">
        <v>43044</v>
      </c>
      <c r="O223" s="4"/>
      <c r="P223" s="4" t="s">
        <v>20</v>
      </c>
    </row>
    <row r="224" spans="1:16" x14ac:dyDescent="0.25">
      <c r="A224" s="4" t="s">
        <v>17</v>
      </c>
      <c r="B224" s="5">
        <v>43013</v>
      </c>
      <c r="C224" s="4" t="str">
        <f>"8V00544390"</f>
        <v>8V00544390</v>
      </c>
      <c r="D224" s="4">
        <v>85172032</v>
      </c>
      <c r="E224" s="5">
        <v>43067</v>
      </c>
      <c r="F224" s="4">
        <v>1629</v>
      </c>
      <c r="G224" s="4">
        <v>3564</v>
      </c>
      <c r="H224" s="4" t="s">
        <v>37</v>
      </c>
      <c r="I224" s="4">
        <v>488410010</v>
      </c>
      <c r="J224" s="4" t="s">
        <v>38</v>
      </c>
      <c r="K224" s="4" t="s">
        <v>232</v>
      </c>
      <c r="L224" s="4">
        <v>190.77</v>
      </c>
      <c r="M224" s="4">
        <v>156.37</v>
      </c>
      <c r="N224" s="5">
        <v>43102</v>
      </c>
      <c r="O224" s="4"/>
      <c r="P224" s="4" t="s">
        <v>40</v>
      </c>
    </row>
    <row r="225" spans="1:16" x14ac:dyDescent="0.25">
      <c r="A225" s="4" t="s">
        <v>17</v>
      </c>
      <c r="B225" s="5">
        <v>42954</v>
      </c>
      <c r="C225" s="4" t="str">
        <f>"8V00430460"</f>
        <v>8V00430460</v>
      </c>
      <c r="D225" s="4">
        <v>79661714</v>
      </c>
      <c r="E225" s="5">
        <v>42979</v>
      </c>
      <c r="F225" s="4">
        <v>1193</v>
      </c>
      <c r="G225" s="4">
        <v>3564</v>
      </c>
      <c r="H225" s="4" t="s">
        <v>37</v>
      </c>
      <c r="I225" s="4">
        <v>488410010</v>
      </c>
      <c r="J225" s="4" t="s">
        <v>38</v>
      </c>
      <c r="K225" s="4" t="s">
        <v>233</v>
      </c>
      <c r="L225" s="4">
        <v>188.05</v>
      </c>
      <c r="M225" s="4">
        <v>154.13999999999999</v>
      </c>
      <c r="N225" s="5">
        <v>43039</v>
      </c>
      <c r="O225" s="4"/>
      <c r="P225" s="4" t="s">
        <v>40</v>
      </c>
    </row>
    <row r="226" spans="1:16" x14ac:dyDescent="0.25">
      <c r="A226" s="4" t="s">
        <v>17</v>
      </c>
      <c r="B226" s="5">
        <v>42936</v>
      </c>
      <c r="C226" s="4" t="str">
        <f>"10PA"</f>
        <v>10PA</v>
      </c>
      <c r="D226" s="4">
        <v>77505125</v>
      </c>
      <c r="E226" s="5">
        <v>42944</v>
      </c>
      <c r="F226" s="4">
        <v>1072</v>
      </c>
      <c r="G226" s="4">
        <v>528</v>
      </c>
      <c r="H226" s="4" t="s">
        <v>64</v>
      </c>
      <c r="I226" s="4" t="s">
        <v>65</v>
      </c>
      <c r="J226" s="4" t="s">
        <v>66</v>
      </c>
      <c r="K226" s="4" t="s">
        <v>234</v>
      </c>
      <c r="L226" s="4">
        <v>228.99</v>
      </c>
      <c r="M226" s="4">
        <v>187.7</v>
      </c>
      <c r="N226" s="4"/>
      <c r="O226" s="4"/>
      <c r="P226" s="4" t="s">
        <v>24</v>
      </c>
    </row>
    <row r="227" spans="1:16" x14ac:dyDescent="0.25">
      <c r="A227" s="4" t="s">
        <v>17</v>
      </c>
      <c r="B227" s="5">
        <v>42936</v>
      </c>
      <c r="C227" s="4" t="str">
        <f>"1PA"</f>
        <v>1PA</v>
      </c>
      <c r="D227" s="4">
        <v>77505046</v>
      </c>
      <c r="E227" s="5">
        <v>42944</v>
      </c>
      <c r="F227" s="4">
        <v>1079</v>
      </c>
      <c r="G227" s="4">
        <v>528</v>
      </c>
      <c r="H227" s="4" t="s">
        <v>64</v>
      </c>
      <c r="I227" s="4" t="s">
        <v>65</v>
      </c>
      <c r="J227" s="4" t="s">
        <v>66</v>
      </c>
      <c r="K227" s="4" t="s">
        <v>234</v>
      </c>
      <c r="L227" s="6">
        <v>1075.5999999999999</v>
      </c>
      <c r="M227" s="4">
        <v>881.64</v>
      </c>
      <c r="N227" s="4"/>
      <c r="O227" s="4"/>
      <c r="P227" s="4" t="s">
        <v>24</v>
      </c>
    </row>
    <row r="228" spans="1:16" x14ac:dyDescent="0.25">
      <c r="A228" s="4" t="s">
        <v>17</v>
      </c>
      <c r="B228" s="5">
        <v>42936</v>
      </c>
      <c r="C228" s="4" t="str">
        <f>"2PA"</f>
        <v>2PA</v>
      </c>
      <c r="D228" s="4">
        <v>77505045</v>
      </c>
      <c r="E228" s="5">
        <v>42944</v>
      </c>
      <c r="F228" s="4">
        <v>1078</v>
      </c>
      <c r="G228" s="4">
        <v>528</v>
      </c>
      <c r="H228" s="4" t="s">
        <v>64</v>
      </c>
      <c r="I228" s="4" t="s">
        <v>65</v>
      </c>
      <c r="J228" s="4" t="s">
        <v>66</v>
      </c>
      <c r="K228" s="4" t="s">
        <v>234</v>
      </c>
      <c r="L228" s="4">
        <v>247.42</v>
      </c>
      <c r="M228" s="4">
        <v>202.8</v>
      </c>
      <c r="N228" s="4"/>
      <c r="O228" s="4"/>
      <c r="P228" s="4" t="s">
        <v>24</v>
      </c>
    </row>
    <row r="229" spans="1:16" x14ac:dyDescent="0.25">
      <c r="A229" s="4" t="s">
        <v>17</v>
      </c>
      <c r="B229" s="5">
        <v>42936</v>
      </c>
      <c r="C229" s="4" t="str">
        <f>"3PA"</f>
        <v>3PA</v>
      </c>
      <c r="D229" s="4">
        <v>77505092</v>
      </c>
      <c r="E229" s="5">
        <v>42944</v>
      </c>
      <c r="F229" s="4">
        <v>1077</v>
      </c>
      <c r="G229" s="4">
        <v>528</v>
      </c>
      <c r="H229" s="4" t="s">
        <v>64</v>
      </c>
      <c r="I229" s="4" t="s">
        <v>65</v>
      </c>
      <c r="J229" s="4" t="s">
        <v>66</v>
      </c>
      <c r="K229" s="4" t="s">
        <v>234</v>
      </c>
      <c r="L229" s="4">
        <v>425</v>
      </c>
      <c r="M229" s="4">
        <v>348.36</v>
      </c>
      <c r="N229" s="4"/>
      <c r="O229" s="4"/>
      <c r="P229" s="4" t="s">
        <v>24</v>
      </c>
    </row>
    <row r="230" spans="1:16" x14ac:dyDescent="0.25">
      <c r="A230" s="4" t="s">
        <v>17</v>
      </c>
      <c r="B230" s="5">
        <v>42936</v>
      </c>
      <c r="C230" s="4" t="str">
        <f>"4PA"</f>
        <v>4PA</v>
      </c>
      <c r="D230" s="4">
        <v>77505107</v>
      </c>
      <c r="E230" s="5">
        <v>42944</v>
      </c>
      <c r="F230" s="4">
        <v>1075</v>
      </c>
      <c r="G230" s="4">
        <v>528</v>
      </c>
      <c r="H230" s="4" t="s">
        <v>64</v>
      </c>
      <c r="I230" s="4" t="s">
        <v>65</v>
      </c>
      <c r="J230" s="4" t="s">
        <v>66</v>
      </c>
      <c r="K230" s="4" t="s">
        <v>234</v>
      </c>
      <c r="L230" s="4">
        <v>82.57</v>
      </c>
      <c r="M230" s="4">
        <v>67.680000000000007</v>
      </c>
      <c r="N230" s="4"/>
      <c r="O230" s="4"/>
      <c r="P230" s="4" t="s">
        <v>24</v>
      </c>
    </row>
    <row r="231" spans="1:16" x14ac:dyDescent="0.25">
      <c r="A231" s="4" t="s">
        <v>17</v>
      </c>
      <c r="B231" s="5">
        <v>42936</v>
      </c>
      <c r="C231" s="4" t="str">
        <f>"5PA"</f>
        <v>5PA</v>
      </c>
      <c r="D231" s="4">
        <v>77505105</v>
      </c>
      <c r="E231" s="5">
        <v>42944</v>
      </c>
      <c r="F231" s="4">
        <v>1076</v>
      </c>
      <c r="G231" s="4">
        <v>528</v>
      </c>
      <c r="H231" s="4" t="s">
        <v>64</v>
      </c>
      <c r="I231" s="4" t="s">
        <v>65</v>
      </c>
      <c r="J231" s="4" t="s">
        <v>66</v>
      </c>
      <c r="K231" s="4" t="s">
        <v>234</v>
      </c>
      <c r="L231" s="4">
        <v>113.13</v>
      </c>
      <c r="M231" s="4">
        <v>92.73</v>
      </c>
      <c r="N231" s="4"/>
      <c r="O231" s="4"/>
      <c r="P231" s="4" t="s">
        <v>24</v>
      </c>
    </row>
    <row r="232" spans="1:16" x14ac:dyDescent="0.25">
      <c r="A232" s="4" t="s">
        <v>17</v>
      </c>
      <c r="B232" s="5">
        <v>42936</v>
      </c>
      <c r="C232" s="4" t="str">
        <f>"6PA"</f>
        <v>6PA</v>
      </c>
      <c r="D232" s="4">
        <v>77505117</v>
      </c>
      <c r="E232" s="5">
        <v>42944</v>
      </c>
      <c r="F232" s="4">
        <v>1074</v>
      </c>
      <c r="G232" s="4">
        <v>528</v>
      </c>
      <c r="H232" s="4" t="s">
        <v>64</v>
      </c>
      <c r="I232" s="4" t="s">
        <v>65</v>
      </c>
      <c r="J232" s="4" t="s">
        <v>66</v>
      </c>
      <c r="K232" s="4" t="s">
        <v>234</v>
      </c>
      <c r="L232" s="4">
        <v>74.010000000000005</v>
      </c>
      <c r="M232" s="4">
        <v>60.66</v>
      </c>
      <c r="N232" s="4"/>
      <c r="O232" s="4"/>
      <c r="P232" s="4" t="s">
        <v>24</v>
      </c>
    </row>
    <row r="233" spans="1:16" x14ac:dyDescent="0.25">
      <c r="A233" s="4" t="s">
        <v>17</v>
      </c>
      <c r="B233" s="5">
        <v>42936</v>
      </c>
      <c r="C233" s="4" t="str">
        <f>"7PA"</f>
        <v>7PA</v>
      </c>
      <c r="D233" s="4">
        <v>77505118</v>
      </c>
      <c r="E233" s="5">
        <v>42944</v>
      </c>
      <c r="F233" s="4">
        <v>1073</v>
      </c>
      <c r="G233" s="4">
        <v>528</v>
      </c>
      <c r="H233" s="4" t="s">
        <v>64</v>
      </c>
      <c r="I233" s="4" t="s">
        <v>65</v>
      </c>
      <c r="J233" s="4" t="s">
        <v>66</v>
      </c>
      <c r="K233" s="4" t="s">
        <v>234</v>
      </c>
      <c r="L233" s="4">
        <v>119.47</v>
      </c>
      <c r="M233" s="4">
        <v>97.93</v>
      </c>
      <c r="N233" s="4"/>
      <c r="O233" s="4"/>
      <c r="P233" s="4" t="s">
        <v>24</v>
      </c>
    </row>
    <row r="234" spans="1:16" x14ac:dyDescent="0.25">
      <c r="A234" s="4" t="s">
        <v>17</v>
      </c>
      <c r="B234" s="5">
        <v>42936</v>
      </c>
      <c r="C234" s="4" t="str">
        <f>"9PA"</f>
        <v>9PA</v>
      </c>
      <c r="D234" s="4">
        <v>77503294</v>
      </c>
      <c r="E234" s="5">
        <v>42944</v>
      </c>
      <c r="F234" s="4">
        <v>1080</v>
      </c>
      <c r="G234" s="4">
        <v>528</v>
      </c>
      <c r="H234" s="4" t="s">
        <v>64</v>
      </c>
      <c r="I234" s="4" t="s">
        <v>65</v>
      </c>
      <c r="J234" s="4" t="s">
        <v>66</v>
      </c>
      <c r="K234" s="4" t="s">
        <v>234</v>
      </c>
      <c r="L234" s="4">
        <v>659.14</v>
      </c>
      <c r="M234" s="4">
        <v>540.28</v>
      </c>
      <c r="N234" s="4"/>
      <c r="O234" s="4"/>
      <c r="P234" s="4" t="s">
        <v>24</v>
      </c>
    </row>
    <row r="235" spans="1:16" x14ac:dyDescent="0.25">
      <c r="A235" s="4" t="s">
        <v>17</v>
      </c>
      <c r="B235" s="5">
        <v>42816</v>
      </c>
      <c r="C235" s="4" t="str">
        <f>"02"</f>
        <v>02</v>
      </c>
      <c r="D235" s="4">
        <v>0</v>
      </c>
      <c r="E235" s="5">
        <v>42851</v>
      </c>
      <c r="F235" s="4">
        <v>564</v>
      </c>
      <c r="G235" s="4">
        <v>3230</v>
      </c>
      <c r="H235" s="4" t="s">
        <v>219</v>
      </c>
      <c r="I235" s="4"/>
      <c r="J235" s="4" t="s">
        <v>220</v>
      </c>
      <c r="K235" s="4" t="s">
        <v>235</v>
      </c>
      <c r="L235" s="4">
        <v>743.41</v>
      </c>
      <c r="M235" s="4">
        <v>609.35</v>
      </c>
      <c r="N235" s="5">
        <v>42847</v>
      </c>
      <c r="O235" s="4"/>
      <c r="P235" s="4"/>
    </row>
    <row r="236" spans="1:16" x14ac:dyDescent="0.25">
      <c r="A236" s="4" t="s">
        <v>17</v>
      </c>
      <c r="B236" s="5">
        <v>42804</v>
      </c>
      <c r="C236" s="4" t="str">
        <f>"10/"</f>
        <v>10/</v>
      </c>
      <c r="D236" s="4">
        <v>0</v>
      </c>
      <c r="E236" s="5">
        <v>42851</v>
      </c>
      <c r="F236" s="4">
        <v>567</v>
      </c>
      <c r="G236" s="4">
        <v>718</v>
      </c>
      <c r="H236" s="4" t="s">
        <v>224</v>
      </c>
      <c r="I236" s="4">
        <v>3486970829</v>
      </c>
      <c r="J236" s="4" t="s">
        <v>225</v>
      </c>
      <c r="K236" s="4"/>
      <c r="L236" s="4">
        <v>501.6</v>
      </c>
      <c r="M236" s="4">
        <v>456</v>
      </c>
      <c r="N236" s="5">
        <v>42834</v>
      </c>
      <c r="O236" s="4"/>
      <c r="P236" s="4"/>
    </row>
    <row r="237" spans="1:16" x14ac:dyDescent="0.25">
      <c r="A237" s="4" t="s">
        <v>17</v>
      </c>
      <c r="B237" s="5">
        <v>42779</v>
      </c>
      <c r="C237" s="4" t="str">
        <f>"1"</f>
        <v>1</v>
      </c>
      <c r="D237" s="4">
        <v>0</v>
      </c>
      <c r="E237" s="5">
        <v>42783</v>
      </c>
      <c r="F237" s="4">
        <v>230</v>
      </c>
      <c r="G237" s="4">
        <v>4552</v>
      </c>
      <c r="H237" s="4" t="s">
        <v>236</v>
      </c>
      <c r="I237" s="4"/>
      <c r="J237" s="4" t="s">
        <v>237</v>
      </c>
      <c r="K237" s="4" t="s">
        <v>238</v>
      </c>
      <c r="L237" s="6">
        <v>1436.8</v>
      </c>
      <c r="M237" s="6">
        <v>1381.54</v>
      </c>
      <c r="N237" s="5">
        <v>42794</v>
      </c>
      <c r="O237" s="4"/>
      <c r="P237" s="4"/>
    </row>
    <row r="238" spans="1:16" x14ac:dyDescent="0.25">
      <c r="A238" s="4" t="s">
        <v>17</v>
      </c>
      <c r="B238" s="5">
        <v>42734</v>
      </c>
      <c r="C238" s="4" t="str">
        <f>"FATTPA 103_16"</f>
        <v>FATTPA 103_16</v>
      </c>
      <c r="D238" s="4">
        <v>0</v>
      </c>
      <c r="E238" s="5">
        <v>42734</v>
      </c>
      <c r="F238" s="4">
        <v>1983</v>
      </c>
      <c r="G238" s="4">
        <v>66</v>
      </c>
      <c r="H238" s="4" t="s">
        <v>95</v>
      </c>
      <c r="I238" s="4">
        <v>247990815</v>
      </c>
      <c r="J238" s="4" t="s">
        <v>96</v>
      </c>
      <c r="K238" s="4"/>
      <c r="L238" s="6">
        <v>5880.31</v>
      </c>
      <c r="M238" s="6">
        <v>5345.74</v>
      </c>
      <c r="N238" s="5">
        <v>42764</v>
      </c>
      <c r="O238" s="4"/>
      <c r="P238" s="4"/>
    </row>
    <row r="239" spans="1:16" x14ac:dyDescent="0.25">
      <c r="A239" s="4" t="s">
        <v>17</v>
      </c>
      <c r="B239" s="5">
        <v>42734</v>
      </c>
      <c r="C239" s="4" t="str">
        <f>"19"</f>
        <v>19</v>
      </c>
      <c r="D239" s="4">
        <v>0</v>
      </c>
      <c r="E239" s="5">
        <v>42783</v>
      </c>
      <c r="F239" s="4">
        <v>229</v>
      </c>
      <c r="G239" s="4">
        <v>4552</v>
      </c>
      <c r="H239" s="4" t="s">
        <v>236</v>
      </c>
      <c r="I239" s="4"/>
      <c r="J239" s="4" t="s">
        <v>237</v>
      </c>
      <c r="K239" s="4" t="s">
        <v>239</v>
      </c>
      <c r="L239" s="4">
        <v>932.85</v>
      </c>
      <c r="M239" s="4">
        <v>896.97</v>
      </c>
      <c r="N239" s="5">
        <v>42766</v>
      </c>
      <c r="O239" s="4"/>
      <c r="P239" s="4"/>
    </row>
    <row r="240" spans="1:16" x14ac:dyDescent="0.25">
      <c r="A240" s="4" t="s">
        <v>17</v>
      </c>
      <c r="B240" s="5">
        <v>42725</v>
      </c>
      <c r="C240" s="4" t="str">
        <f>"1PA"</f>
        <v>1PA</v>
      </c>
      <c r="D240" s="4">
        <v>0</v>
      </c>
      <c r="E240" s="5">
        <v>42851</v>
      </c>
      <c r="F240" s="4">
        <v>551</v>
      </c>
      <c r="G240" s="4">
        <v>528</v>
      </c>
      <c r="H240" s="4" t="s">
        <v>64</v>
      </c>
      <c r="I240" s="4" t="s">
        <v>65</v>
      </c>
      <c r="J240" s="4" t="s">
        <v>66</v>
      </c>
      <c r="K240" s="4" t="s">
        <v>234</v>
      </c>
      <c r="L240" s="4">
        <v>144.66999999999999</v>
      </c>
      <c r="M240" s="4">
        <v>118.58</v>
      </c>
      <c r="N240" s="5">
        <v>42817</v>
      </c>
      <c r="O240" s="4"/>
      <c r="P240" s="4"/>
    </row>
    <row r="241" spans="1:16" x14ac:dyDescent="0.25">
      <c r="A241" s="4" t="s">
        <v>17</v>
      </c>
      <c r="B241" s="5">
        <v>42725</v>
      </c>
      <c r="C241" s="4" t="str">
        <f>"2PA"</f>
        <v>2PA</v>
      </c>
      <c r="D241" s="4">
        <v>0</v>
      </c>
      <c r="E241" s="5">
        <v>42851</v>
      </c>
      <c r="F241" s="4">
        <v>552</v>
      </c>
      <c r="G241" s="4">
        <v>528</v>
      </c>
      <c r="H241" s="4" t="s">
        <v>64</v>
      </c>
      <c r="I241" s="4" t="s">
        <v>65</v>
      </c>
      <c r="J241" s="4" t="s">
        <v>66</v>
      </c>
      <c r="K241" s="4" t="s">
        <v>234</v>
      </c>
      <c r="L241" s="4">
        <v>281.12</v>
      </c>
      <c r="M241" s="4">
        <v>230.43</v>
      </c>
      <c r="N241" s="5">
        <v>42817</v>
      </c>
      <c r="O241" s="4"/>
      <c r="P241" s="4"/>
    </row>
    <row r="242" spans="1:16" x14ac:dyDescent="0.25">
      <c r="A242" s="4" t="s">
        <v>17</v>
      </c>
      <c r="B242" s="5">
        <v>42725</v>
      </c>
      <c r="C242" s="4" t="str">
        <f>"3PA"</f>
        <v>3PA</v>
      </c>
      <c r="D242" s="4">
        <v>0</v>
      </c>
      <c r="E242" s="5">
        <v>42851</v>
      </c>
      <c r="F242" s="4">
        <v>553</v>
      </c>
      <c r="G242" s="4">
        <v>528</v>
      </c>
      <c r="H242" s="4" t="s">
        <v>64</v>
      </c>
      <c r="I242" s="4" t="s">
        <v>65</v>
      </c>
      <c r="J242" s="4" t="s">
        <v>66</v>
      </c>
      <c r="K242" s="4" t="s">
        <v>234</v>
      </c>
      <c r="L242" s="4">
        <v>120.49</v>
      </c>
      <c r="M242" s="4">
        <v>98.76</v>
      </c>
      <c r="N242" s="5">
        <v>42817</v>
      </c>
      <c r="O242" s="4"/>
      <c r="P242" s="4"/>
    </row>
    <row r="243" spans="1:16" x14ac:dyDescent="0.25">
      <c r="A243" s="4" t="s">
        <v>17</v>
      </c>
      <c r="B243" s="5">
        <v>42725</v>
      </c>
      <c r="C243" s="4" t="str">
        <f>"4PA"</f>
        <v>4PA</v>
      </c>
      <c r="D243" s="4">
        <v>0</v>
      </c>
      <c r="E243" s="5">
        <v>42851</v>
      </c>
      <c r="F243" s="4">
        <v>554</v>
      </c>
      <c r="G243" s="4">
        <v>528</v>
      </c>
      <c r="H243" s="4" t="s">
        <v>64</v>
      </c>
      <c r="I243" s="4" t="s">
        <v>65</v>
      </c>
      <c r="J243" s="4" t="s">
        <v>66</v>
      </c>
      <c r="K243" s="4" t="s">
        <v>234</v>
      </c>
      <c r="L243" s="4">
        <v>531.29999999999995</v>
      </c>
      <c r="M243" s="4">
        <v>435.49</v>
      </c>
      <c r="N243" s="5">
        <v>42817</v>
      </c>
      <c r="O243" s="4"/>
      <c r="P243" s="4"/>
    </row>
    <row r="244" spans="1:16" x14ac:dyDescent="0.25">
      <c r="A244" s="4" t="s">
        <v>17</v>
      </c>
      <c r="B244" s="5">
        <v>42725</v>
      </c>
      <c r="C244" s="4" t="str">
        <f>"5PA"</f>
        <v>5PA</v>
      </c>
      <c r="D244" s="4">
        <v>0</v>
      </c>
      <c r="E244" s="5">
        <v>42851</v>
      </c>
      <c r="F244" s="4">
        <v>555</v>
      </c>
      <c r="G244" s="4">
        <v>528</v>
      </c>
      <c r="H244" s="4" t="s">
        <v>64</v>
      </c>
      <c r="I244" s="4" t="s">
        <v>65</v>
      </c>
      <c r="J244" s="4" t="s">
        <v>66</v>
      </c>
      <c r="K244" s="4" t="s">
        <v>234</v>
      </c>
      <c r="L244" s="4">
        <v>946.65</v>
      </c>
      <c r="M244" s="4">
        <v>775.94</v>
      </c>
      <c r="N244" s="5">
        <v>42817</v>
      </c>
      <c r="O244" s="4"/>
      <c r="P244" s="4"/>
    </row>
    <row r="245" spans="1:16" x14ac:dyDescent="0.25">
      <c r="A245" s="4" t="s">
        <v>17</v>
      </c>
      <c r="B245" s="5">
        <v>42725</v>
      </c>
      <c r="C245" s="4" t="str">
        <f>"6PA"</f>
        <v>6PA</v>
      </c>
      <c r="D245" s="4">
        <v>0</v>
      </c>
      <c r="E245" s="5">
        <v>42851</v>
      </c>
      <c r="F245" s="4">
        <v>556</v>
      </c>
      <c r="G245" s="4">
        <v>528</v>
      </c>
      <c r="H245" s="4" t="s">
        <v>64</v>
      </c>
      <c r="I245" s="4" t="s">
        <v>65</v>
      </c>
      <c r="J245" s="4" t="s">
        <v>66</v>
      </c>
      <c r="K245" s="4" t="s">
        <v>234</v>
      </c>
      <c r="L245" s="6">
        <v>1117.2</v>
      </c>
      <c r="M245" s="4">
        <v>915.74</v>
      </c>
      <c r="N245" s="5">
        <v>42817</v>
      </c>
      <c r="O245" s="4"/>
      <c r="P245" s="4"/>
    </row>
    <row r="246" spans="1:16" x14ac:dyDescent="0.25">
      <c r="A246" s="4" t="s">
        <v>17</v>
      </c>
      <c r="B246" s="5">
        <v>42725</v>
      </c>
      <c r="C246" s="4" t="str">
        <f>"7PA"</f>
        <v>7PA</v>
      </c>
      <c r="D246" s="4">
        <v>0</v>
      </c>
      <c r="E246" s="5">
        <v>42851</v>
      </c>
      <c r="F246" s="4">
        <v>557</v>
      </c>
      <c r="G246" s="4">
        <v>528</v>
      </c>
      <c r="H246" s="4" t="s">
        <v>64</v>
      </c>
      <c r="I246" s="4" t="s">
        <v>65</v>
      </c>
      <c r="J246" s="4" t="s">
        <v>66</v>
      </c>
      <c r="K246" s="4" t="s">
        <v>240</v>
      </c>
      <c r="L246" s="6">
        <v>2816.58</v>
      </c>
      <c r="M246" s="6">
        <v>2308.67</v>
      </c>
      <c r="N246" s="5">
        <v>42819</v>
      </c>
      <c r="O246" s="4"/>
      <c r="P246" s="4"/>
    </row>
    <row r="247" spans="1:16" x14ac:dyDescent="0.25">
      <c r="A247" s="4" t="s">
        <v>17</v>
      </c>
      <c r="B247" s="5">
        <v>42725</v>
      </c>
      <c r="C247" s="4" t="str">
        <f>"18"</f>
        <v>18</v>
      </c>
      <c r="D247" s="4">
        <v>0</v>
      </c>
      <c r="E247" s="5">
        <v>42734</v>
      </c>
      <c r="F247" s="4">
        <v>1967</v>
      </c>
      <c r="G247" s="4">
        <v>4552</v>
      </c>
      <c r="H247" s="4" t="s">
        <v>236</v>
      </c>
      <c r="I247" s="4"/>
      <c r="J247" s="4" t="s">
        <v>237</v>
      </c>
      <c r="K247" s="4" t="s">
        <v>241</v>
      </c>
      <c r="L247" s="6">
        <v>1212.56</v>
      </c>
      <c r="M247" s="6">
        <v>1165.92</v>
      </c>
      <c r="N247" s="5">
        <v>42735</v>
      </c>
      <c r="O247" s="4"/>
      <c r="P247" s="4"/>
    </row>
    <row r="248" spans="1:16" x14ac:dyDescent="0.25">
      <c r="A248" s="4" t="s">
        <v>17</v>
      </c>
      <c r="B248" s="5">
        <v>42723</v>
      </c>
      <c r="C248" s="4" t="str">
        <f>"13"</f>
        <v>13</v>
      </c>
      <c r="D248" s="4">
        <v>0</v>
      </c>
      <c r="E248" s="5">
        <v>42773</v>
      </c>
      <c r="F248" s="4">
        <v>183</v>
      </c>
      <c r="G248" s="4">
        <v>4521</v>
      </c>
      <c r="H248" s="4" t="s">
        <v>216</v>
      </c>
      <c r="I248" s="4">
        <v>2927370839</v>
      </c>
      <c r="J248" s="4" t="s">
        <v>217</v>
      </c>
      <c r="K248" s="4" t="s">
        <v>242</v>
      </c>
      <c r="L248" s="6">
        <v>4813.8</v>
      </c>
      <c r="M248" s="6">
        <v>4813.8</v>
      </c>
      <c r="N248" s="5">
        <v>42753</v>
      </c>
      <c r="O248" s="4"/>
      <c r="P248" s="4"/>
    </row>
    <row r="249" spans="1:16" x14ac:dyDescent="0.25">
      <c r="A249" s="4" t="s">
        <v>17</v>
      </c>
      <c r="B249" s="5">
        <v>42676</v>
      </c>
      <c r="C249" s="4" t="str">
        <f>"17"</f>
        <v>17</v>
      </c>
      <c r="D249" s="4">
        <v>0</v>
      </c>
      <c r="E249" s="5">
        <v>42698</v>
      </c>
      <c r="F249" s="4">
        <v>1849</v>
      </c>
      <c r="G249" s="4">
        <v>4552</v>
      </c>
      <c r="H249" s="4" t="s">
        <v>236</v>
      </c>
      <c r="I249" s="4"/>
      <c r="J249" s="4" t="s">
        <v>237</v>
      </c>
      <c r="K249" s="4" t="s">
        <v>243</v>
      </c>
      <c r="L249" s="4">
        <v>337.86</v>
      </c>
      <c r="M249" s="4">
        <v>324.87</v>
      </c>
      <c r="N249" s="5">
        <v>42704</v>
      </c>
      <c r="O249" s="4"/>
      <c r="P249" s="4"/>
    </row>
    <row r="250" spans="1:16" x14ac:dyDescent="0.25">
      <c r="A250" s="4" t="s">
        <v>70</v>
      </c>
      <c r="B250" s="5">
        <v>42665</v>
      </c>
      <c r="C250" s="4" t="str">
        <f>"17"</f>
        <v>17</v>
      </c>
      <c r="D250" s="4">
        <v>0</v>
      </c>
      <c r="E250" s="5">
        <v>42697</v>
      </c>
      <c r="F250" s="4">
        <v>1769</v>
      </c>
      <c r="G250" s="4">
        <v>4552</v>
      </c>
      <c r="H250" s="4" t="s">
        <v>236</v>
      </c>
      <c r="I250" s="4"/>
      <c r="J250" s="4" t="s">
        <v>237</v>
      </c>
      <c r="K250" s="4" t="s">
        <v>244</v>
      </c>
      <c r="L250" s="4">
        <v>-65.41</v>
      </c>
      <c r="M250" s="4">
        <v>-65.41</v>
      </c>
      <c r="N250" s="5">
        <v>42697</v>
      </c>
      <c r="O250" s="4"/>
      <c r="P250" s="4"/>
    </row>
    <row r="251" spans="1:16" x14ac:dyDescent="0.25">
      <c r="A251" s="4" t="s">
        <v>17</v>
      </c>
      <c r="B251" s="5">
        <v>42613</v>
      </c>
      <c r="C251" s="4" t="str">
        <f>"9/PNL/FPA"</f>
        <v>9/PNL/FPA</v>
      </c>
      <c r="D251" s="4">
        <v>0</v>
      </c>
      <c r="E251" s="5">
        <v>42851</v>
      </c>
      <c r="F251" s="4">
        <v>537</v>
      </c>
      <c r="G251" s="4">
        <v>466</v>
      </c>
      <c r="H251" s="4" t="s">
        <v>27</v>
      </c>
      <c r="I251" s="4">
        <v>3620860829</v>
      </c>
      <c r="J251" s="4" t="s">
        <v>28</v>
      </c>
      <c r="K251" s="4" t="s">
        <v>245</v>
      </c>
      <c r="L251" s="6">
        <v>2396.15</v>
      </c>
      <c r="M251" s="6">
        <v>1964.06</v>
      </c>
      <c r="N251" s="5">
        <v>42643</v>
      </c>
      <c r="O251" s="4"/>
      <c r="P251" s="4"/>
    </row>
    <row r="252" spans="1:16" x14ac:dyDescent="0.25">
      <c r="A252" s="4" t="s">
        <v>17</v>
      </c>
      <c r="B252" s="5">
        <v>42569</v>
      </c>
      <c r="C252" s="4" t="str">
        <f>"08/2016"</f>
        <v>08/2016</v>
      </c>
      <c r="D252" s="4">
        <v>0</v>
      </c>
      <c r="E252" s="5">
        <v>42626</v>
      </c>
      <c r="F252" s="4">
        <v>1338</v>
      </c>
      <c r="G252" s="4">
        <v>3230</v>
      </c>
      <c r="H252" s="4" t="s">
        <v>219</v>
      </c>
      <c r="I252" s="4"/>
      <c r="J252" s="4" t="s">
        <v>220</v>
      </c>
      <c r="K252" s="4" t="s">
        <v>246</v>
      </c>
      <c r="L252" s="4">
        <v>743.41</v>
      </c>
      <c r="M252" s="4">
        <v>609.35</v>
      </c>
      <c r="N252" s="5">
        <v>42600</v>
      </c>
      <c r="O252" s="4"/>
      <c r="P252" s="4"/>
    </row>
    <row r="253" spans="1:16" x14ac:dyDescent="0.25">
      <c r="A253" s="4" t="s">
        <v>17</v>
      </c>
      <c r="B253" s="5">
        <v>42520</v>
      </c>
      <c r="C253" s="4" t="str">
        <f>"6820160514001717"</f>
        <v>6820160514001717</v>
      </c>
      <c r="D253" s="4">
        <v>0</v>
      </c>
      <c r="E253" s="5">
        <v>42558</v>
      </c>
      <c r="F253" s="4">
        <v>1033</v>
      </c>
      <c r="G253" s="4">
        <v>1643</v>
      </c>
      <c r="H253" s="4" t="s">
        <v>37</v>
      </c>
      <c r="I253" s="4"/>
      <c r="J253" s="4" t="s">
        <v>38</v>
      </c>
      <c r="K253" s="4" t="s">
        <v>247</v>
      </c>
      <c r="L253" s="4">
        <v>189.47</v>
      </c>
      <c r="M253" s="4">
        <v>189.47</v>
      </c>
      <c r="N253" s="5">
        <v>42611</v>
      </c>
      <c r="O253" s="4"/>
      <c r="P253" s="4"/>
    </row>
    <row r="254" spans="1:16" x14ac:dyDescent="0.25">
      <c r="A254" s="4" t="s">
        <v>70</v>
      </c>
      <c r="B254" s="5">
        <v>42466</v>
      </c>
      <c r="C254" s="4" t="str">
        <f>"R2-3150"</f>
        <v>R2-3150</v>
      </c>
      <c r="D254" s="4">
        <v>0</v>
      </c>
      <c r="E254" s="5">
        <v>42486</v>
      </c>
      <c r="F254" s="4">
        <v>643</v>
      </c>
      <c r="G254" s="4">
        <v>3351</v>
      </c>
      <c r="H254" s="4" t="s">
        <v>248</v>
      </c>
      <c r="I254" s="4"/>
      <c r="J254" s="4" t="s">
        <v>249</v>
      </c>
      <c r="K254" s="4"/>
      <c r="L254" s="6">
        <v>-1986.07</v>
      </c>
      <c r="M254" s="6">
        <v>-1909.68</v>
      </c>
      <c r="N254" s="5">
        <v>42521</v>
      </c>
      <c r="O254" s="4"/>
      <c r="P254" s="4"/>
    </row>
    <row r="255" spans="1:16" x14ac:dyDescent="0.25">
      <c r="A255" s="4" t="s">
        <v>70</v>
      </c>
      <c r="B255" s="5">
        <v>42451</v>
      </c>
      <c r="C255" s="4" t="str">
        <f>"FATTPA 31_16"</f>
        <v>FATTPA 31_16</v>
      </c>
      <c r="D255" s="4">
        <v>0</v>
      </c>
      <c r="E255" s="5">
        <v>42454</v>
      </c>
      <c r="F255" s="4">
        <v>490</v>
      </c>
      <c r="G255" s="4">
        <v>66</v>
      </c>
      <c r="H255" s="4" t="s">
        <v>95</v>
      </c>
      <c r="I255" s="4">
        <v>247990815</v>
      </c>
      <c r="J255" s="4" t="s">
        <v>96</v>
      </c>
      <c r="K255" s="4"/>
      <c r="L255" s="4">
        <v>-20.46</v>
      </c>
      <c r="M255" s="4">
        <v>-18.600000000000001</v>
      </c>
      <c r="N255" s="5">
        <v>42481</v>
      </c>
      <c r="O255" s="4"/>
      <c r="P255" s="4"/>
    </row>
    <row r="256" spans="1:16" x14ac:dyDescent="0.25">
      <c r="A256" s="4" t="s">
        <v>70</v>
      </c>
      <c r="B256" s="5">
        <v>42451</v>
      </c>
      <c r="C256" s="4" t="str">
        <f>"FATTPA 32_16"</f>
        <v>FATTPA 32_16</v>
      </c>
      <c r="D256" s="4">
        <v>0</v>
      </c>
      <c r="E256" s="5">
        <v>42454</v>
      </c>
      <c r="F256" s="4">
        <v>491</v>
      </c>
      <c r="G256" s="4">
        <v>66</v>
      </c>
      <c r="H256" s="4" t="s">
        <v>95</v>
      </c>
      <c r="I256" s="4">
        <v>247990815</v>
      </c>
      <c r="J256" s="4" t="s">
        <v>96</v>
      </c>
      <c r="K256" s="4"/>
      <c r="L256" s="4">
        <v>-22.22</v>
      </c>
      <c r="M256" s="4">
        <v>-20.2</v>
      </c>
      <c r="N256" s="5">
        <v>42481</v>
      </c>
      <c r="O256" s="4"/>
      <c r="P256" s="4"/>
    </row>
    <row r="257" spans="1:16" x14ac:dyDescent="0.25">
      <c r="A257" s="4" t="s">
        <v>17</v>
      </c>
      <c r="B257" s="5">
        <v>42429</v>
      </c>
      <c r="C257" s="4" t="str">
        <f>"4416007136"</f>
        <v>4416007136</v>
      </c>
      <c r="D257" s="4">
        <v>2462177872</v>
      </c>
      <c r="E257" s="5">
        <v>43868</v>
      </c>
      <c r="F257" s="4">
        <v>152</v>
      </c>
      <c r="G257" s="4">
        <v>3233</v>
      </c>
      <c r="H257" s="4" t="s">
        <v>208</v>
      </c>
      <c r="I257" s="4">
        <v>97103880585</v>
      </c>
      <c r="J257" s="4" t="s">
        <v>209</v>
      </c>
      <c r="K257" s="4" t="s">
        <v>250</v>
      </c>
      <c r="L257" s="4">
        <v>51.84</v>
      </c>
      <c r="M257" s="4">
        <v>51.84</v>
      </c>
      <c r="N257" s="5">
        <v>43898</v>
      </c>
      <c r="O257" s="4"/>
      <c r="P257" s="4" t="s">
        <v>91</v>
      </c>
    </row>
    <row r="258" spans="1:16" x14ac:dyDescent="0.25">
      <c r="A258" s="4" t="s">
        <v>17</v>
      </c>
      <c r="B258" s="5">
        <v>42387</v>
      </c>
      <c r="C258" s="4" t="str">
        <f>"FATTPA 7_16"</f>
        <v>FATTPA 7_16</v>
      </c>
      <c r="D258" s="4">
        <v>0</v>
      </c>
      <c r="E258" s="5">
        <v>42397</v>
      </c>
      <c r="F258" s="4">
        <v>142</v>
      </c>
      <c r="G258" s="4">
        <v>4268</v>
      </c>
      <c r="H258" s="4" t="s">
        <v>251</v>
      </c>
      <c r="I258" s="4" t="s">
        <v>252</v>
      </c>
      <c r="J258" s="4" t="s">
        <v>253</v>
      </c>
      <c r="K258" s="4" t="s">
        <v>124</v>
      </c>
      <c r="L258" s="6">
        <v>3000</v>
      </c>
      <c r="M258" s="6">
        <v>2459.02</v>
      </c>
      <c r="N258" s="5">
        <v>42417</v>
      </c>
      <c r="O258" s="4"/>
      <c r="P258" s="4"/>
    </row>
    <row r="259" spans="1:16" x14ac:dyDescent="0.25">
      <c r="A259" s="4" t="s">
        <v>17</v>
      </c>
      <c r="B259" s="5">
        <v>42369</v>
      </c>
      <c r="C259" s="4" t="str">
        <f>"16-2015/PA"</f>
        <v>16-2015/PA</v>
      </c>
      <c r="D259" s="4">
        <v>0</v>
      </c>
      <c r="E259" s="5">
        <v>42430</v>
      </c>
      <c r="F259" s="4">
        <v>332</v>
      </c>
      <c r="G259" s="4">
        <v>3230</v>
      </c>
      <c r="H259" s="4" t="s">
        <v>219</v>
      </c>
      <c r="I259" s="4"/>
      <c r="J259" s="4" t="s">
        <v>220</v>
      </c>
      <c r="K259" s="4" t="s">
        <v>254</v>
      </c>
      <c r="L259" s="4">
        <v>173.48</v>
      </c>
      <c r="M259" s="4">
        <v>142.19999999999999</v>
      </c>
      <c r="N259" s="5">
        <v>42442</v>
      </c>
      <c r="O259" s="4"/>
      <c r="P259" s="4"/>
    </row>
    <row r="260" spans="1:16" x14ac:dyDescent="0.25">
      <c r="A260" s="4" t="s">
        <v>17</v>
      </c>
      <c r="B260" s="5">
        <v>42369</v>
      </c>
      <c r="C260" s="4" t="str">
        <f>"17-2015/PA"</f>
        <v>17-2015/PA</v>
      </c>
      <c r="D260" s="4">
        <v>0</v>
      </c>
      <c r="E260" s="5">
        <v>42430</v>
      </c>
      <c r="F260" s="4">
        <v>333</v>
      </c>
      <c r="G260" s="4">
        <v>3230</v>
      </c>
      <c r="H260" s="4" t="s">
        <v>219</v>
      </c>
      <c r="I260" s="4"/>
      <c r="J260" s="4" t="s">
        <v>220</v>
      </c>
      <c r="K260" s="4" t="s">
        <v>255</v>
      </c>
      <c r="L260" s="4">
        <v>187.98</v>
      </c>
      <c r="M260" s="4">
        <v>154.08000000000001</v>
      </c>
      <c r="N260" s="5">
        <v>42445</v>
      </c>
      <c r="O260" s="4"/>
      <c r="P260" s="4"/>
    </row>
    <row r="261" spans="1:16" x14ac:dyDescent="0.25">
      <c r="A261" s="4" t="s">
        <v>17</v>
      </c>
      <c r="B261" s="5">
        <v>42369</v>
      </c>
      <c r="C261" s="4" t="str">
        <f>"3316503073"</f>
        <v>3316503073</v>
      </c>
      <c r="D261" s="4">
        <v>0</v>
      </c>
      <c r="E261" s="5">
        <v>42390</v>
      </c>
      <c r="F261" s="4">
        <v>46</v>
      </c>
      <c r="G261" s="4">
        <v>4299</v>
      </c>
      <c r="H261" s="4" t="s">
        <v>256</v>
      </c>
      <c r="I261" s="4"/>
      <c r="J261" s="4" t="s">
        <v>257</v>
      </c>
      <c r="K261" s="4" t="s">
        <v>258</v>
      </c>
      <c r="L261" s="6">
        <v>17080</v>
      </c>
      <c r="M261" s="6">
        <v>14000</v>
      </c>
      <c r="N261" s="5">
        <v>42399</v>
      </c>
      <c r="O261" s="4"/>
      <c r="P261" s="4"/>
    </row>
    <row r="262" spans="1:16" x14ac:dyDescent="0.25">
      <c r="A262" s="4" t="s">
        <v>17</v>
      </c>
      <c r="B262" s="5">
        <v>42352</v>
      </c>
      <c r="C262" s="4" t="str">
        <f>"13-2015/PA"</f>
        <v>13-2015/PA</v>
      </c>
      <c r="D262" s="4">
        <v>0</v>
      </c>
      <c r="E262" s="5">
        <v>42354</v>
      </c>
      <c r="F262" s="4">
        <v>1845</v>
      </c>
      <c r="G262" s="4">
        <v>3230</v>
      </c>
      <c r="H262" s="4" t="s">
        <v>219</v>
      </c>
      <c r="I262" s="4"/>
      <c r="J262" s="4" t="s">
        <v>220</v>
      </c>
      <c r="K262" s="4" t="s">
        <v>259</v>
      </c>
      <c r="L262" s="4">
        <v>593.37</v>
      </c>
      <c r="M262" s="4">
        <v>486.37</v>
      </c>
      <c r="N262" s="5">
        <v>42382</v>
      </c>
      <c r="O262" s="4"/>
      <c r="P262" s="4" t="s">
        <v>24</v>
      </c>
    </row>
    <row r="263" spans="1:16" x14ac:dyDescent="0.25">
      <c r="A263" s="4" t="s">
        <v>17</v>
      </c>
      <c r="B263" s="5">
        <v>42352</v>
      </c>
      <c r="C263" s="4" t="str">
        <f>"14-2015/PA"</f>
        <v>14-2015/PA</v>
      </c>
      <c r="D263" s="4">
        <v>0</v>
      </c>
      <c r="E263" s="5">
        <v>42354</v>
      </c>
      <c r="F263" s="4">
        <v>1846</v>
      </c>
      <c r="G263" s="4">
        <v>3230</v>
      </c>
      <c r="H263" s="4" t="s">
        <v>219</v>
      </c>
      <c r="I263" s="4"/>
      <c r="J263" s="4" t="s">
        <v>220</v>
      </c>
      <c r="K263" s="4" t="s">
        <v>260</v>
      </c>
      <c r="L263" s="4">
        <v>293.98</v>
      </c>
      <c r="M263" s="4">
        <v>240.97</v>
      </c>
      <c r="N263" s="5">
        <v>42382</v>
      </c>
      <c r="O263" s="4"/>
      <c r="P263" s="4" t="s">
        <v>24</v>
      </c>
    </row>
    <row r="264" spans="1:16" x14ac:dyDescent="0.25">
      <c r="A264" s="4" t="s">
        <v>17</v>
      </c>
      <c r="B264" s="5">
        <v>42249</v>
      </c>
      <c r="C264" s="4" t="str">
        <f>"09-2015/PA"</f>
        <v>09-2015/PA</v>
      </c>
      <c r="D264" s="4">
        <v>0</v>
      </c>
      <c r="E264" s="5">
        <v>42255</v>
      </c>
      <c r="F264" s="4">
        <v>1208</v>
      </c>
      <c r="G264" s="4">
        <v>3230</v>
      </c>
      <c r="H264" s="4" t="s">
        <v>219</v>
      </c>
      <c r="I264" s="4"/>
      <c r="J264" s="4" t="s">
        <v>220</v>
      </c>
      <c r="K264" s="4" t="s">
        <v>261</v>
      </c>
      <c r="L264" s="4">
        <v>683.18</v>
      </c>
      <c r="M264" s="4">
        <v>559.98</v>
      </c>
      <c r="N264" s="5">
        <v>42279</v>
      </c>
      <c r="O264" s="4"/>
      <c r="P264" s="4" t="s">
        <v>24</v>
      </c>
    </row>
    <row r="265" spans="1:16" x14ac:dyDescent="0.25">
      <c r="A265" s="4" t="s">
        <v>17</v>
      </c>
      <c r="B265" s="5">
        <v>42206</v>
      </c>
      <c r="C265" s="4" t="str">
        <f>"07-2015/PA"</f>
        <v>07-2015/PA</v>
      </c>
      <c r="D265" s="4">
        <v>0</v>
      </c>
      <c r="E265" s="5">
        <v>42212</v>
      </c>
      <c r="F265" s="4">
        <v>977</v>
      </c>
      <c r="G265" s="4">
        <v>3230</v>
      </c>
      <c r="H265" s="4" t="s">
        <v>219</v>
      </c>
      <c r="I265" s="4"/>
      <c r="J265" s="4" t="s">
        <v>220</v>
      </c>
      <c r="K265" s="4" t="s">
        <v>262</v>
      </c>
      <c r="L265" s="4">
        <v>320.42</v>
      </c>
      <c r="M265" s="4">
        <v>262.64</v>
      </c>
      <c r="N265" s="5">
        <v>42236</v>
      </c>
      <c r="O265" s="4"/>
      <c r="P265" s="4" t="s">
        <v>24</v>
      </c>
    </row>
    <row r="266" spans="1:16" x14ac:dyDescent="0.25">
      <c r="A266" s="4" t="s">
        <v>17</v>
      </c>
      <c r="B266" s="5">
        <v>42206</v>
      </c>
      <c r="C266" s="4" t="str">
        <f>"08-2015/PA"</f>
        <v>08-2015/PA</v>
      </c>
      <c r="D266" s="4">
        <v>0</v>
      </c>
      <c r="E266" s="5">
        <v>42212</v>
      </c>
      <c r="F266" s="4">
        <v>978</v>
      </c>
      <c r="G266" s="4">
        <v>3230</v>
      </c>
      <c r="H266" s="4" t="s">
        <v>219</v>
      </c>
      <c r="I266" s="4"/>
      <c r="J266" s="4" t="s">
        <v>220</v>
      </c>
      <c r="K266" s="4" t="s">
        <v>263</v>
      </c>
      <c r="L266" s="4">
        <v>445.53</v>
      </c>
      <c r="M266" s="4">
        <v>365.19</v>
      </c>
      <c r="N266" s="5">
        <v>42236</v>
      </c>
      <c r="O266" s="4"/>
      <c r="P266" s="4" t="s">
        <v>24</v>
      </c>
    </row>
    <row r="267" spans="1:16" x14ac:dyDescent="0.25">
      <c r="A267" s="4" t="s">
        <v>17</v>
      </c>
      <c r="B267" s="5">
        <v>42194</v>
      </c>
      <c r="C267" s="4" t="str">
        <f>"06-2015/PA"</f>
        <v>06-2015/PA</v>
      </c>
      <c r="D267" s="4">
        <v>0</v>
      </c>
      <c r="E267" s="5">
        <v>42212</v>
      </c>
      <c r="F267" s="4">
        <v>976</v>
      </c>
      <c r="G267" s="4">
        <v>3230</v>
      </c>
      <c r="H267" s="4" t="s">
        <v>219</v>
      </c>
      <c r="I267" s="4"/>
      <c r="J267" s="4" t="s">
        <v>220</v>
      </c>
      <c r="K267" s="4" t="s">
        <v>264</v>
      </c>
      <c r="L267" s="4">
        <v>156.44999999999999</v>
      </c>
      <c r="M267" s="4">
        <v>128.24</v>
      </c>
      <c r="N267" s="5">
        <v>42236</v>
      </c>
      <c r="O267" s="4"/>
      <c r="P267" s="4" t="s">
        <v>24</v>
      </c>
    </row>
    <row r="268" spans="1:16" x14ac:dyDescent="0.25">
      <c r="A268" s="4" t="s">
        <v>17</v>
      </c>
      <c r="B268" s="5">
        <v>42167</v>
      </c>
      <c r="C268" s="4" t="str">
        <f>"2/PNL/FPA"</f>
        <v>2/PNL/FPA</v>
      </c>
      <c r="D268" s="4">
        <v>0</v>
      </c>
      <c r="E268" s="5">
        <v>42206</v>
      </c>
      <c r="F268" s="4">
        <v>965</v>
      </c>
      <c r="G268" s="4">
        <v>466</v>
      </c>
      <c r="H268" s="4" t="s">
        <v>27</v>
      </c>
      <c r="I268" s="4">
        <v>3620860829</v>
      </c>
      <c r="J268" s="4" t="s">
        <v>28</v>
      </c>
      <c r="K268" s="4" t="s">
        <v>265</v>
      </c>
      <c r="L268" s="4">
        <v>122</v>
      </c>
      <c r="M268" s="4">
        <v>100</v>
      </c>
      <c r="N268" s="5">
        <v>42235</v>
      </c>
      <c r="O268" s="4"/>
      <c r="P268" s="4" t="s">
        <v>24</v>
      </c>
    </row>
    <row r="269" spans="1:16" x14ac:dyDescent="0.25">
      <c r="A269" s="4" t="s">
        <v>17</v>
      </c>
      <c r="B269" s="5">
        <v>42166</v>
      </c>
      <c r="C269" s="4" t="str">
        <f>"1/PNL/FPA"</f>
        <v>1/PNL/FPA</v>
      </c>
      <c r="D269" s="4">
        <v>0</v>
      </c>
      <c r="E269" s="5">
        <v>42178</v>
      </c>
      <c r="F269" s="4">
        <v>839</v>
      </c>
      <c r="G269" s="4">
        <v>466</v>
      </c>
      <c r="H269" s="4" t="s">
        <v>27</v>
      </c>
      <c r="I269" s="4">
        <v>3620860829</v>
      </c>
      <c r="J269" s="4" t="s">
        <v>28</v>
      </c>
      <c r="K269" s="4" t="s">
        <v>265</v>
      </c>
      <c r="L269" s="4">
        <v>122</v>
      </c>
      <c r="M269" s="4">
        <v>100</v>
      </c>
      <c r="N269" s="5">
        <v>42202</v>
      </c>
      <c r="O269" s="4"/>
      <c r="P269" s="4" t="s">
        <v>24</v>
      </c>
    </row>
    <row r="270" spans="1:16" x14ac:dyDescent="0.25">
      <c r="L270" s="8">
        <f>SUM(L3:L269)</f>
        <v>522899.41999999952</v>
      </c>
      <c r="M270" s="8">
        <f>SUM(M3:M269)</f>
        <v>319089.48999999987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stampa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Orsolinda Maccotta</dc:creator>
  <cp:lastModifiedBy>Orsolinda</cp:lastModifiedBy>
  <dcterms:created xsi:type="dcterms:W3CDTF">2022-10-10T10:19:45Z</dcterms:created>
  <dcterms:modified xsi:type="dcterms:W3CDTF">2022-10-10T10:24:35Z</dcterms:modified>
</cp:coreProperties>
</file>