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e6-45-65\Settore3\orsolinda\TEMPESTIVITA pagamenti\2023\"/>
    </mc:Choice>
  </mc:AlternateContent>
  <xr:revisionPtr revIDLastSave="0" documentId="13_ncr:40009_{82C142D9-1BCB-46DF-A146-C2D994F70DDB}" xr6:coauthVersionLast="47" xr6:coauthVersionMax="47" xr10:uidLastSave="{00000000-0000-0000-0000-000000000000}"/>
  <bookViews>
    <workbookView xWindow="-120" yWindow="-120" windowWidth="29040" windowHeight="15840"/>
  </bookViews>
  <sheets>
    <sheet name="stampa (52)" sheetId="2" r:id="rId1"/>
  </sheets>
  <calcPr calcId="181029"/>
</workbook>
</file>

<file path=xl/calcChain.xml><?xml version="1.0" encoding="utf-8"?>
<calcChain xmlns="http://schemas.openxmlformats.org/spreadsheetml/2006/main">
  <c r="C235" i="2" l="1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<sst xmlns="http://schemas.openxmlformats.org/spreadsheetml/2006/main" count="1149" uniqueCount="272">
  <si>
    <t>03-04-2023 -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</si>
  <si>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</si>
  <si>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</si>
  <si>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</si>
  <si>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</si>
  <si>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</si>
  <si>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</si>
  <si>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</si>
  <si>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</si>
  <si>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</si>
  <si>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</si>
  <si>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</si>
  <si>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</si>
  <si>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</si>
  <si>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</si>
  <si>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</si>
  <si>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</si>
  <si>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</si>
  <si>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CALDO MAURIZIO</t>
  </si>
  <si>
    <t>CLDMRZ66R10F839R</t>
  </si>
  <si>
    <t>W53D96</t>
  </si>
  <si>
    <t>CARADONNA CATERINA - GEOLOGO - N.10/06/67 A SALEMI</t>
  </si>
  <si>
    <t>CRDCRN67H50H700S</t>
  </si>
  <si>
    <t>IT01791050816</t>
  </si>
  <si>
    <t>PIRRECA MAURIZIO</t>
  </si>
  <si>
    <t>PRRMRZ77E11B780E</t>
  </si>
  <si>
    <t>IT02677150811</t>
  </si>
  <si>
    <t>SERVACI S.A.S. DI BONOMO LEONARDA LIDIA &amp; C.</t>
  </si>
  <si>
    <t>BNMLRD59P67G315Y</t>
  </si>
  <si>
    <t>IT01729200814</t>
  </si>
  <si>
    <t>AGESP S.P.A. - SERVIZI AMBIENTALI</t>
  </si>
  <si>
    <t>IT00389000811</t>
  </si>
  <si>
    <t>DF1RK0</t>
  </si>
  <si>
    <t>DI MARZO EGLE MARIA</t>
  </si>
  <si>
    <t>DMRGMR47M56G315T</t>
  </si>
  <si>
    <t>IT00138260815</t>
  </si>
  <si>
    <t>N</t>
  </si>
  <si>
    <t>Edil Houses Srl a socio unico</t>
  </si>
  <si>
    <t>IT05730290870</t>
  </si>
  <si>
    <t>annullamento per mancata indicazione split-payment</t>
  </si>
  <si>
    <t>TELECOM ITALIA S.P.A.</t>
  </si>
  <si>
    <t>IT00488410010</t>
  </si>
  <si>
    <t>Fattura Febbraio 23: Periodo 2/23 Dic - Gen</t>
  </si>
  <si>
    <t>W13GF7</t>
  </si>
  <si>
    <t>CROCE FRANCESCO</t>
  </si>
  <si>
    <t>CRCFNC69T07L331A</t>
  </si>
  <si>
    <t>IT01624610810</t>
  </si>
  <si>
    <t>EMMECCI S.R.L.</t>
  </si>
  <si>
    <t>IT05648090826</t>
  </si>
  <si>
    <t>Ft Split Payment ex art.17-ter DPR 633/72</t>
  </si>
  <si>
    <t>G &amp; G Building Edilizia Innovativa e Grandi Opere S</t>
  </si>
  <si>
    <t>IT14764531001</t>
  </si>
  <si>
    <t>MADRIGALI NICOLA</t>
  </si>
  <si>
    <t>MDRNCL72A07A944Z</t>
  </si>
  <si>
    <t>IT03613251200</t>
  </si>
  <si>
    <t>storno relativo al secondo semestre, da fatturarsi a giugno</t>
  </si>
  <si>
    <t>CEDIT SRL</t>
  </si>
  <si>
    <t>IT02739690846</t>
  </si>
  <si>
    <t>Fattura Compensazione Prezzi</t>
  </si>
  <si>
    <t>CELI ENERGIA SRL</t>
  </si>
  <si>
    <t>IT02371850815</t>
  </si>
  <si>
    <t>COOPERATIVA SOCIALE NIDO D'ARGENTO</t>
  </si>
  <si>
    <t>IT03882030822</t>
  </si>
  <si>
    <t>SERVIZIO DI ASSISTENZA ALL'AUTONOMIA IN AMBITO SCOLASTICO IN FAVORE degli utenti R.M.. , C.G.., R.M. PERIODO DAL 1/11/22 AL 23/12/22 A.S. 22/23</t>
  </si>
  <si>
    <t>DI TRAPANI GIUSEPPE</t>
  </si>
  <si>
    <t>DTRGPP52M23G273V</t>
  </si>
  <si>
    <t>IT06650740829</t>
  </si>
  <si>
    <t>Proc Esec a carico di SERRO Ignazio Trib Trapani RG 150 16 EI Versato direttamente dalla procedura Incarico GM 78 del 18 05 2016 e 125 del 06 07 2016</t>
  </si>
  <si>
    <t>SICILIANA EDILE SRL</t>
  </si>
  <si>
    <t>IT02134990817</t>
  </si>
  <si>
    <t>PAROLE E VITA SRL</t>
  </si>
  <si>
    <t>IT01845020856</t>
  </si>
  <si>
    <t>SISTEMI SRL</t>
  </si>
  <si>
    <t>IT02707630832</t>
  </si>
  <si>
    <t>Storno totale fattura n. 1A/2022 del 03/03/2022</t>
  </si>
  <si>
    <t>EDILPRO SRL prima TRUSCELLI SALVATORE SRL</t>
  </si>
  <si>
    <t>IT01838290854</t>
  </si>
  <si>
    <t>Fattura Dicembre 22: Periodo 1/22 Ott - Nov</t>
  </si>
  <si>
    <t>LUCE S.R.L.</t>
  </si>
  <si>
    <t>IT01216770071</t>
  </si>
  <si>
    <t>Fattura per 5Â° S.A.L.</t>
  </si>
  <si>
    <t>ITD Solutions SpA</t>
  </si>
  <si>
    <t>IT10184840154</t>
  </si>
  <si>
    <t>VERSAMENTO IVA A VS CARICO EX DPR 633/72 ART. 17-TER</t>
  </si>
  <si>
    <t>PIMMRR</t>
  </si>
  <si>
    <t>MESSINA NICOLA-AVV.TO</t>
  </si>
  <si>
    <t>MSSNCL64E20L331Z</t>
  </si>
  <si>
    <t>IT01699390819</t>
  </si>
  <si>
    <t>PAVIA SALVATORE</t>
  </si>
  <si>
    <t>PVASVT88D24G315O</t>
  </si>
  <si>
    <t>IT02710290814</t>
  </si>
  <si>
    <t>UFJ0DW</t>
  </si>
  <si>
    <t>Nuovi Orizzonti soc. coop</t>
  </si>
  <si>
    <t>IT01521480812</t>
  </si>
  <si>
    <t>lavori urgenti di ripristino del muro di contenimento del tratto di strada Khania di sopra all'altezza del civ. - STATO FINALE DEI LAVORI10</t>
  </si>
  <si>
    <t>lavori urgenti di ripristino del muro di contenimento del tratto di strada vicolo Zighidi' all'altezza del civ. 10-STATO FINALE DEI LAVORI</t>
  </si>
  <si>
    <t>POWER SOUND SERVICE di RUSSO Antonino</t>
  </si>
  <si>
    <t>RSSNNN86D10E974D</t>
  </si>
  <si>
    <t>IT02337530816</t>
  </si>
  <si>
    <t>Fattura Ottobre 22: Periodo 6/22 Ago - Set</t>
  </si>
  <si>
    <t>FATTURAZIONE CONTO 3 BIM 2022 092311141091</t>
  </si>
  <si>
    <t>FARMACIA GANCI SAS</t>
  </si>
  <si>
    <t>IT02673120818</t>
  </si>
  <si>
    <t>SOFIA COSTRUZIONI SRL</t>
  </si>
  <si>
    <t>IT04713650820</t>
  </si>
  <si>
    <t>LAVORI DI EFFICIENTAMENTO ENERGETICO DEL SISTEMA DI PUBBLICA ILLUMINAZIONE DELL'ISOLA DI PANTELLERIA</t>
  </si>
  <si>
    <t>Paga con TeamSystem Pay: https://secure.tspay.app/link2Pay/D7Hpnca3v4VHm0Umlcbd75hMEyY</t>
  </si>
  <si>
    <t>COMUNE DI PANTELLERIA</t>
  </si>
  <si>
    <t>IT00247990815</t>
  </si>
  <si>
    <t>B/Bollettazione</t>
  </si>
  <si>
    <t>SODEXO MOTIVATION SOLUTIONS ITALIA SRL</t>
  </si>
  <si>
    <t>IT05892970152</t>
  </si>
  <si>
    <t>7390554E15/Z072F3445D Sostituzione</t>
  </si>
  <si>
    <t>7390554E15/Z072F3445D Buoni Resi</t>
  </si>
  <si>
    <t>CONSORZIO LEONARDO SERVIZI</t>
  </si>
  <si>
    <t>IT01535090474</t>
  </si>
  <si>
    <t>Fattura Agosto 22: Periodo 5/22 Giu - Lug</t>
  </si>
  <si>
    <t>ASP-SERV.TESORERIA-IGIENE PUBBL.E MEDICINA - DEL LAVORO</t>
  </si>
  <si>
    <t>IT02363280815</t>
  </si>
  <si>
    <t>MARTELLUCCI DOTT.UGO</t>
  </si>
  <si>
    <t>MRTGUO54A14G273I</t>
  </si>
  <si>
    <t>IT02763510829</t>
  </si>
  <si>
    <t>ISIDE -SOC.COOP.SOCIALE A R.L.</t>
  </si>
  <si>
    <t>IT04416610824</t>
  </si>
  <si>
    <t>Fattura Giugno 22: Periodo 4/22 Apr - Mag</t>
  </si>
  <si>
    <t>S.MED.E. PANTELLERIA S.P.A.</t>
  </si>
  <si>
    <t>IT03620860829</t>
  </si>
  <si>
    <t>Fattura per Variazione fornitura impianto produttore codice cliente 119404</t>
  </si>
  <si>
    <t>ITALSCAVI srl</t>
  </si>
  <si>
    <t>IT02507650816</t>
  </si>
  <si>
    <t>QUOTA PARTE DIARIA RELATIVA ALLA DEGENZA IN RSA MORANA , MOD. GERIATRICO, PER IL SIG. F.G. : PERIODO DICEMBRE 2021 E GENNAIO/MARZO 2022</t>
  </si>
  <si>
    <t>RIEMISSIONE DI PARTE DELLA FATTURA 8V00043372 DEL 2 BIM 2022 PER NECESSITA' DI SUDDIVIDERE I COSTI SU DUE CIG DIVERSI</t>
  </si>
  <si>
    <t>RIEMISSIONE DI PARTE DELLA FATTURA 8V00336168 DEL 6 BIM 2021 PER NECESSITA' DI SUDDIVIDERE I COSTI SU DUE CIG DIVERSI</t>
  </si>
  <si>
    <t>VENDITA PRODOTTI FONIA E DATI LINEA N. 0923871030</t>
  </si>
  <si>
    <t>COMPAGNIA DI NAVIGAZIONE CARONTE &amp; TOURIST IS - OLE MIN</t>
  </si>
  <si>
    <t>IT03418550830</t>
  </si>
  <si>
    <t>ACQUISTO DI BENI O SERVIZI PRESSO: CARONTE &amp; TOURIST ISOLE MINORI SPA</t>
  </si>
  <si>
    <t>Futura mask srl</t>
  </si>
  <si>
    <t>IT01823320096</t>
  </si>
  <si>
    <t>Fattura Pubblica amministrazione</t>
  </si>
  <si>
    <t>OGGETTO: COMPETENZE RELATIVE ALLA PROGETTAZIONE PRELIMINARE E DEFINITIVA ED INCARICO PARZIALE, PER L'INTERVENTO DI REALIZZAZIONE NUOVO CENTRO SPORTIVO DI PANTELLERIA. CONTRATTO DEL 29/03/2011</t>
  </si>
  <si>
    <t>PROGETTO CONTRACT SRL</t>
  </si>
  <si>
    <t>IT04368740827</t>
  </si>
  <si>
    <t>Fattura di Vendita Split Payment PC</t>
  </si>
  <si>
    <t>Lavori di riefficientamento energetico con tecniche di bioedilizia, nonche abbattimento delle barriere architettoniche del Palazzo Municipale anche sede della COC di Protezione Civile Pantelleria</t>
  </si>
  <si>
    <t>O.M.R. DI ODDO &amp; C. SRL</t>
  </si>
  <si>
    <t>IT02340200811</t>
  </si>
  <si>
    <t>DETERMINA SETTORE N.264 DEL 16/03/2021-DETERMINA GENERAL 700 DEL 25/03/2021</t>
  </si>
  <si>
    <t>MURA GIUSEPPE</t>
  </si>
  <si>
    <t>MRUGPP75B22G273Z</t>
  </si>
  <si>
    <t>IT02486810811</t>
  </si>
  <si>
    <t>STUDIO LETO CONSULENZA SICUREZZA E PROGETTAZI - ONE - I</t>
  </si>
  <si>
    <t>LTEVTI61E25C347P</t>
  </si>
  <si>
    <t>IT01665920839</t>
  </si>
  <si>
    <t>WURTH SRL</t>
  </si>
  <si>
    <t>IT00125230219</t>
  </si>
  <si>
    <t>CARBONARO GIUSEPPE-AVVOCATO - N.16/08/58 A PALERMO</t>
  </si>
  <si>
    <t>CRBGPP58M16G273W</t>
  </si>
  <si>
    <t>IT03873510824</t>
  </si>
  <si>
    <t>ASSESSORATO REGIONALE DELL'AGRICOLTURA DELLO - SVILUPPO</t>
  </si>
  <si>
    <t>IT02711070827</t>
  </si>
  <si>
    <t>INSERZIONE IN GURS</t>
  </si>
  <si>
    <t>A.S.A.IMPIANTI S.R.L.</t>
  </si>
  <si>
    <t>IT01777010818</t>
  </si>
  <si>
    <t>DNV GL BUSINESS ASSURANCE ITALIA SRL</t>
  </si>
  <si>
    <t>IT00820340966</t>
  </si>
  <si>
    <t>RIFERIMENTI / ORDER REFERENCE AND DESCRIPTION COMUNE DI PANTELLERI_ISO 9001:2015_PRJC-570747</t>
  </si>
  <si>
    <t>MAGGIOLI S.P.A.</t>
  </si>
  <si>
    <t>IT02066400405</t>
  </si>
  <si>
    <t>FATTURA</t>
  </si>
  <si>
    <t>VENDITA PRODOTTI FONIA E DATI LINEA N. 0923540201</t>
  </si>
  <si>
    <t>Idragest S.r.l.</t>
  </si>
  <si>
    <t>IT02159670799</t>
  </si>
  <si>
    <t>Servizio di ricerca perdite nella rete di distribuzione idrica di Pantelleria. CIG Z052FBF387</t>
  </si>
  <si>
    <t>INTEGRAZIONE IVA DEL 5% PER SERVIZIO DI ASSISTENZA ALL'AUTONOMIA IN AMBITO SCOLASTICO IN FAVORE DELL'UTENTE B.P. E H.A. PERIODO DA SETTEMRE 18 A DIC 18, ANNO 2019, DA GEN 20 A OTT 20</t>
  </si>
  <si>
    <t>POLICARDO FRANCESCO GIANFRANCO</t>
  </si>
  <si>
    <t>PLCFNC64R11G315X</t>
  </si>
  <si>
    <t>IT01930660814</t>
  </si>
  <si>
    <t>Fattura PA immediata (TD01) del 18/12/2020 N.ro 1/PA</t>
  </si>
  <si>
    <t>CENTRO REVISIONE AUTO MASTER CAR SNC</t>
  </si>
  <si>
    <t>IT01576550816</t>
  </si>
  <si>
    <t>REVISIONE AUTO</t>
  </si>
  <si>
    <t>FINA ROMANO GIUSEPPE</t>
  </si>
  <si>
    <t>FNIRNG76P25L219L</t>
  </si>
  <si>
    <t>IT02574560815</t>
  </si>
  <si>
    <t>Z7119CFA0C</t>
  </si>
  <si>
    <t>ARUBA PEC S.P.A.</t>
  </si>
  <si>
    <t>IT01879020517</t>
  </si>
  <si>
    <t>68Z8LP</t>
  </si>
  <si>
    <t>ARUBA S.P.A.</t>
  </si>
  <si>
    <t>IT01573850516</t>
  </si>
  <si>
    <t>GAZZETTA UFFICIALE DELLA - REGIONE SICILIANA</t>
  </si>
  <si>
    <t>MUNICIPIA SPA</t>
  </si>
  <si>
    <t>IT01973900838</t>
  </si>
  <si>
    <t>cig Z3010E6A30</t>
  </si>
  <si>
    <t>QQRZQJ</t>
  </si>
  <si>
    <t>PROGETTO PER L'ESECUZIONE DI INTERVENTI DI RAZIONALIZZAZIONE ED EFFICIENTAMENTO IMPIANTI DI CONSEGNA E DI MISURA ALLE UTENZE IDRICHE</t>
  </si>
  <si>
    <t>1BIM 2020</t>
  </si>
  <si>
    <t>VENDITA PRODOTTI FONIA E DATI LINEA N. 0923911167</t>
  </si>
  <si>
    <t>AZIENDA SANITARIA PROVINCIALE DI TRAPANI</t>
  </si>
  <si>
    <t>QUOTE SOCIALI RICOVERI IN RSA</t>
  </si>
  <si>
    <t>6BIM 2019</t>
  </si>
  <si>
    <t>S.I.A.E.</t>
  </si>
  <si>
    <t>IT00987061009</t>
  </si>
  <si>
    <t>Uff.TRAPANI CANTINA DONNA FUGATA PER.04/08/2018-05/08/2018 Feste in piazza</t>
  </si>
  <si>
    <t>5BIM 2019</t>
  </si>
  <si>
    <t>4BIM 2019</t>
  </si>
  <si>
    <t>STIPULA CONTRATTO DI FORNITURA IDRICA NÂ° 4169 - UTENZA 5269 - INDIRIZZO DI FORNITURA: VIA VENEZIA (GIARDINO).</t>
  </si>
  <si>
    <t>3BIM 2019</t>
  </si>
  <si>
    <t>TOTALE A SALDO FATTURA</t>
  </si>
  <si>
    <t>PARZIALE SU SINGOLA VOCE FATTURA</t>
  </si>
  <si>
    <t>VENDITA PRODOTTI FONIA E DATI</t>
  </si>
  <si>
    <t>OdA n.4138209 - Protocollo n. 2857</t>
  </si>
  <si>
    <t>2BIM 2019</t>
  </si>
  <si>
    <t>DAMIGA S.R.L.</t>
  </si>
  <si>
    <t>IT02379180819</t>
  </si>
  <si>
    <t>ONERI DI ACCESSO A DISCARICA</t>
  </si>
  <si>
    <t>QUOTE SOCIALI RICOVERO RSA UTENTE S.G.</t>
  </si>
  <si>
    <t>S.SEBASTIANO-COMUNITA' ALLOGGIO ANZIANI - DI LIPARI VIN</t>
  </si>
  <si>
    <t>LPRVCN79M56G348K</t>
  </si>
  <si>
    <t>IT02342800816</t>
  </si>
  <si>
    <t>RETTA DI RICOVERO CON VITTO E ALLOGGIO PRESTATA ALLA SIGNORA DI MASCIO VITA DONATA PRESSO LA COMUNITA' ALLOGGIO "SAN SEBASTIANO"</t>
  </si>
  <si>
    <t>1BIM 2019</t>
  </si>
  <si>
    <t>LAVORI DI RIEFFICIENTAMENTO ENERGETICO CON TECNICHE DI BIOEDILIZIA, NONCHE' ABBATTIMENTO DELLE BARRIERE ARCHITETTONICHE DEL PALAZZO MUNICIPALE ANCHE SEDE DELLA COC DI PROTEZIONE CIVILE - PANTELLERIA</t>
  </si>
  <si>
    <t>6BIM 2018</t>
  </si>
  <si>
    <t>Vendita Apparati New Generation</t>
  </si>
  <si>
    <t>SALUS SOC.COOP.SOCIALE</t>
  </si>
  <si>
    <t>IT05548120822</t>
  </si>
  <si>
    <t>Retta disabile psichico Ferrandes Dorotea Anna mese di Agosto 2018</t>
  </si>
  <si>
    <t>MADRE TERESA DI CALCUTTA SOC. COOP. SOCIALE ONLUS</t>
  </si>
  <si>
    <t>IT01351820814</t>
  </si>
  <si>
    <t>PRESTAZIONI DI ASS. DOMICILIARE SOCIO-ASS. "NON IN ADI" CIG: X3419D5866 CUP: H21E15000790001</t>
  </si>
  <si>
    <t>CASSARO SERVIZI INTEGRATI SRL</t>
  </si>
  <si>
    <t>IT02052690845</t>
  </si>
  <si>
    <t>Servizio straordinario di custodia durante le operazioni di estumunalzione straordinaria nel cimitero di Khamma</t>
  </si>
  <si>
    <t>POSTE ITALIANE S.P.A.</t>
  </si>
  <si>
    <t>IT01114601006</t>
  </si>
  <si>
    <t>NCG 704428/10 16/05/2018 64029</t>
  </si>
  <si>
    <t>3BIM 2018</t>
  </si>
  <si>
    <t>Corso Legnami Srl</t>
  </si>
  <si>
    <t>IT02077630818</t>
  </si>
  <si>
    <t>2BIM 2018</t>
  </si>
  <si>
    <t>F.LLI CASANO S.R.L.</t>
  </si>
  <si>
    <t>IT02138540816</t>
  </si>
  <si>
    <t>Manutenzione , riparazione e sistemazione di infissi negli edifici scolastici di Corso Umberto e di Via Dante</t>
  </si>
  <si>
    <t>NCG 704391/10 03/10/2017 64029</t>
  </si>
  <si>
    <t>6BIM 2017</t>
  </si>
  <si>
    <t>5BIM 2017</t>
  </si>
  <si>
    <t>Provvigione buoni acqua mese Agosto 2015</t>
  </si>
  <si>
    <t>SOFIP S.P.A</t>
  </si>
  <si>
    <t>IT03486970829</t>
  </si>
  <si>
    <t>COOPERATIVA SOCIALE TANIT</t>
  </si>
  <si>
    <t>IT02359720816</t>
  </si>
  <si>
    <t>PATTO ACCREDITAMENTO: FORNITURA PRESTAZIONI TIPO SOCIO EDUCATIVI: MESE GENNAIO 2017 UTENTE R.F. (CIG</t>
  </si>
  <si>
    <t>PATTO ACCREDITAMENTO: FORNITURA PRESTAZIONI TIPO SOCIO EDUCATIVI MESE DICEMBRE 2016 UTENTE R.F.(CIG)</t>
  </si>
  <si>
    <t>PATTO ACCREDITAMENTO: FORNITURA PRESTAZIONI TIPO SOCIO EDUCATIVI MESE NOVEMBRE 2016 UTENTE R.F.(CIG)</t>
  </si>
  <si>
    <t>PATTO ACCREDITAMENTO: FORNITURA PRESTAZIONI TIPO SOCIO EDUCATIVI MESE SETTEMBRE 2016 UTENTE R.F.(CIG</t>
  </si>
  <si>
    <t>Nota di variazione di sola Iva ai sensi dell' art. 26 dpr 633/72 per errata applicazione iva ( 5% an</t>
  </si>
  <si>
    <t>Provvigione buoni acqua Agosto 2015</t>
  </si>
  <si>
    <t>RIEMISSIONE CONTO 6/15 N.8V00622806-LINEA 092313344897-SPLIT PAYMENT</t>
  </si>
  <si>
    <t>SELF DI FEDERICA CAPONI</t>
  </si>
  <si>
    <t>CPNFRC73D46I046Z</t>
  </si>
  <si>
    <t>IT01905220503</t>
  </si>
  <si>
    <t>Provvigione buoni acqua Novembre 2015</t>
  </si>
  <si>
    <t>Provvigione buoni acqua Dicembre 2015</t>
  </si>
  <si>
    <t>Provvigione buoni acqua Settembre 2015</t>
  </si>
  <si>
    <t>Provvigione buoni acqua Ottobre 2015</t>
  </si>
  <si>
    <t>Provvigione buoni acqua Luglio 2015</t>
  </si>
  <si>
    <t>Provvigione buoni acqua Maggio 2015</t>
  </si>
  <si>
    <t>PROVVIGIONE BUONI ACQUA MESE GIUGNO 2015</t>
  </si>
  <si>
    <t>Provvigione buoni acqua Aprile 2015</t>
  </si>
  <si>
    <t>Fattura per Variazione fornitura impianto produttore codice cliente 110644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</si>
</sst>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17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showGridLines="0" tabSelected="1" topLeftCell="E209" workbookViewId="0">
      <selection activeCell="M236" sqref="M236"/>
    </sheetView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20.5703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0.59134259259259259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44977</v>
      </c>
      <c r="C3" s="4" t="str">
        <f>"FPA 3/23"</f>
        <v>FPA 3/23</v>
      </c>
      <c r="D3" s="4">
        <v>9078274103</v>
      </c>
      <c r="E3" s="5">
        <v>44994</v>
      </c>
      <c r="F3" s="4">
        <v>477</v>
      </c>
      <c r="G3" s="4">
        <v>4940</v>
      </c>
      <c r="H3" s="4" t="s">
        <v>18</v>
      </c>
      <c r="I3" s="4" t="s">
        <v>19</v>
      </c>
      <c r="J3" s="4"/>
      <c r="K3" s="4"/>
      <c r="L3" s="4">
        <v>112.87</v>
      </c>
      <c r="M3" s="4">
        <v>92.52</v>
      </c>
      <c r="N3" s="5">
        <v>45007</v>
      </c>
      <c r="O3" s="4"/>
      <c r="P3" s="4" t="s">
        <v>20</v>
      </c>
    </row>
    <row r="4" spans="1:16" x14ac:dyDescent="0.25">
      <c r="A4" s="4" t="s">
        <v>17</v>
      </c>
      <c r="B4" s="5">
        <v>44976</v>
      </c>
      <c r="C4" s="4" t="str">
        <f>"5"</f>
        <v>5</v>
      </c>
      <c r="D4" s="4">
        <v>9073297760</v>
      </c>
      <c r="E4" s="5">
        <v>44992</v>
      </c>
      <c r="F4" s="4">
        <v>473</v>
      </c>
      <c r="G4" s="4">
        <v>3702</v>
      </c>
      <c r="H4" s="4" t="s">
        <v>21</v>
      </c>
      <c r="I4" s="4" t="s">
        <v>22</v>
      </c>
      <c r="J4" s="4" t="s">
        <v>23</v>
      </c>
      <c r="K4" s="4"/>
      <c r="L4" s="6">
        <v>10402</v>
      </c>
      <c r="M4" s="6">
        <v>10402</v>
      </c>
      <c r="N4" s="5">
        <v>45006</v>
      </c>
      <c r="O4" s="4"/>
      <c r="P4" s="4" t="s">
        <v>20</v>
      </c>
    </row>
    <row r="5" spans="1:16" x14ac:dyDescent="0.25">
      <c r="A5" s="4" t="s">
        <v>17</v>
      </c>
      <c r="B5" s="5">
        <v>44974</v>
      </c>
      <c r="C5" s="4" t="str">
        <f>"3"</f>
        <v>3</v>
      </c>
      <c r="D5" s="4">
        <v>9062744965</v>
      </c>
      <c r="E5" s="5">
        <v>44991</v>
      </c>
      <c r="F5" s="4">
        <v>468</v>
      </c>
      <c r="G5" s="4">
        <v>4879</v>
      </c>
      <c r="H5" s="4" t="s">
        <v>24</v>
      </c>
      <c r="I5" s="4" t="s">
        <v>25</v>
      </c>
      <c r="J5" s="4" t="s">
        <v>26</v>
      </c>
      <c r="K5" s="4"/>
      <c r="L5" s="6">
        <v>6455.9</v>
      </c>
      <c r="M5" s="6">
        <v>5869</v>
      </c>
      <c r="N5" s="5">
        <v>45005</v>
      </c>
      <c r="O5" s="4"/>
      <c r="P5" s="4" t="s">
        <v>20</v>
      </c>
    </row>
    <row r="6" spans="1:16" x14ac:dyDescent="0.25">
      <c r="A6" s="4" t="s">
        <v>17</v>
      </c>
      <c r="B6" s="5">
        <v>44973</v>
      </c>
      <c r="C6" s="4" t="str">
        <f>"139"</f>
        <v>139</v>
      </c>
      <c r="D6" s="4">
        <v>9089294084</v>
      </c>
      <c r="E6" s="5">
        <v>44998</v>
      </c>
      <c r="F6" s="4">
        <v>521</v>
      </c>
      <c r="G6" s="4">
        <v>528</v>
      </c>
      <c r="H6" s="4" t="s">
        <v>27</v>
      </c>
      <c r="I6" s="4" t="s">
        <v>28</v>
      </c>
      <c r="J6" s="4" t="s">
        <v>29</v>
      </c>
      <c r="K6" s="4"/>
      <c r="L6" s="4">
        <v>181.04</v>
      </c>
      <c r="M6" s="4">
        <v>148.38999999999999</v>
      </c>
      <c r="N6" s="5">
        <v>45009</v>
      </c>
      <c r="O6" s="4"/>
      <c r="P6" s="4" t="s">
        <v>20</v>
      </c>
    </row>
    <row r="7" spans="1:16" x14ac:dyDescent="0.25">
      <c r="A7" s="4" t="s">
        <v>17</v>
      </c>
      <c r="B7" s="5">
        <v>44973</v>
      </c>
      <c r="C7" s="4" t="str">
        <f>"71/PA"</f>
        <v>71/PA</v>
      </c>
      <c r="D7" s="4">
        <v>9053833877</v>
      </c>
      <c r="E7" s="5">
        <v>44991</v>
      </c>
      <c r="F7" s="4">
        <v>461</v>
      </c>
      <c r="G7" s="4">
        <v>1071</v>
      </c>
      <c r="H7" s="4" t="s">
        <v>30</v>
      </c>
      <c r="I7" s="4">
        <v>197340821</v>
      </c>
      <c r="J7" s="4" t="s">
        <v>31</v>
      </c>
      <c r="K7" s="4"/>
      <c r="L7" s="6">
        <v>6545.94</v>
      </c>
      <c r="M7" s="6">
        <v>5950.85</v>
      </c>
      <c r="N7" s="5">
        <v>45004</v>
      </c>
      <c r="O7" s="4"/>
      <c r="P7" s="4" t="s">
        <v>32</v>
      </c>
    </row>
    <row r="8" spans="1:16" x14ac:dyDescent="0.25">
      <c r="A8" s="4" t="s">
        <v>17</v>
      </c>
      <c r="B8" s="5">
        <v>44973</v>
      </c>
      <c r="C8" s="4" t="str">
        <f>"1"</f>
        <v>1</v>
      </c>
      <c r="D8" s="4">
        <v>9069318960</v>
      </c>
      <c r="E8" s="5">
        <v>44991</v>
      </c>
      <c r="F8" s="4">
        <v>470</v>
      </c>
      <c r="G8" s="4">
        <v>4539</v>
      </c>
      <c r="H8" s="4" t="s">
        <v>33</v>
      </c>
      <c r="I8" s="4" t="s">
        <v>34</v>
      </c>
      <c r="J8" s="4" t="s">
        <v>35</v>
      </c>
      <c r="K8" s="4"/>
      <c r="L8" s="4">
        <v>414.13</v>
      </c>
      <c r="M8" s="4">
        <v>414.13</v>
      </c>
      <c r="N8" s="5">
        <v>45005</v>
      </c>
      <c r="O8" s="4"/>
      <c r="P8" s="4" t="s">
        <v>20</v>
      </c>
    </row>
    <row r="9" spans="1:16" x14ac:dyDescent="0.25">
      <c r="A9" s="4" t="s">
        <v>36</v>
      </c>
      <c r="B9" s="5">
        <v>44973</v>
      </c>
      <c r="C9" s="4" t="str">
        <f>"1/PA"</f>
        <v>1/PA</v>
      </c>
      <c r="D9" s="4">
        <v>9054148995</v>
      </c>
      <c r="E9" s="5">
        <v>44991</v>
      </c>
      <c r="F9" s="4">
        <v>467</v>
      </c>
      <c r="G9" s="4">
        <v>4539</v>
      </c>
      <c r="H9" s="4" t="s">
        <v>33</v>
      </c>
      <c r="I9" s="4" t="s">
        <v>34</v>
      </c>
      <c r="J9" s="4" t="s">
        <v>35</v>
      </c>
      <c r="K9" s="4"/>
      <c r="L9" s="4">
        <v>-414.13</v>
      </c>
      <c r="M9" s="4">
        <v>-339.45</v>
      </c>
      <c r="N9" s="5">
        <v>45004</v>
      </c>
      <c r="O9" s="4"/>
      <c r="P9" s="4" t="s">
        <v>20</v>
      </c>
    </row>
    <row r="10" spans="1:16" x14ac:dyDescent="0.25">
      <c r="A10" s="4" t="s">
        <v>17</v>
      </c>
      <c r="B10" s="5">
        <v>44972</v>
      </c>
      <c r="C10" s="4" t="str">
        <f>"4/PA"</f>
        <v>4/PA</v>
      </c>
      <c r="D10" s="4">
        <v>9051640585</v>
      </c>
      <c r="E10" s="5">
        <v>44991</v>
      </c>
      <c r="F10" s="4">
        <v>466</v>
      </c>
      <c r="G10" s="4">
        <v>4539</v>
      </c>
      <c r="H10" s="4" t="s">
        <v>33</v>
      </c>
      <c r="I10" s="4" t="s">
        <v>34</v>
      </c>
      <c r="J10" s="4" t="s">
        <v>35</v>
      </c>
      <c r="K10" s="4"/>
      <c r="L10" s="4">
        <v>40.479999999999997</v>
      </c>
      <c r="M10" s="4">
        <v>33.18</v>
      </c>
      <c r="N10" s="5">
        <v>45004</v>
      </c>
      <c r="O10" s="4"/>
      <c r="P10" s="4" t="s">
        <v>20</v>
      </c>
    </row>
    <row r="11" spans="1:16" x14ac:dyDescent="0.25">
      <c r="A11" s="4" t="s">
        <v>17</v>
      </c>
      <c r="B11" s="5">
        <v>44972</v>
      </c>
      <c r="C11" s="4" t="str">
        <f>"14|2023"</f>
        <v>14|2023</v>
      </c>
      <c r="D11" s="4">
        <v>9046871828</v>
      </c>
      <c r="E11" s="5">
        <v>44988</v>
      </c>
      <c r="F11" s="4">
        <v>454</v>
      </c>
      <c r="G11" s="4">
        <v>7779</v>
      </c>
      <c r="H11" s="4" t="s">
        <v>37</v>
      </c>
      <c r="I11" s="4">
        <v>5730290870</v>
      </c>
      <c r="J11" s="4" t="s">
        <v>38</v>
      </c>
      <c r="K11" s="4"/>
      <c r="L11" s="6">
        <v>31365.4</v>
      </c>
      <c r="M11" s="6">
        <v>28514</v>
      </c>
      <c r="N11" s="5">
        <v>45002</v>
      </c>
      <c r="O11" s="4"/>
      <c r="P11" s="4" t="s">
        <v>20</v>
      </c>
    </row>
    <row r="12" spans="1:16" x14ac:dyDescent="0.25">
      <c r="A12" s="4" t="s">
        <v>36</v>
      </c>
      <c r="B12" s="5">
        <v>44970</v>
      </c>
      <c r="C12" s="4" t="str">
        <f>"FPA 2/23"</f>
        <v>FPA 2/23</v>
      </c>
      <c r="D12" s="4">
        <v>9077427112</v>
      </c>
      <c r="E12" s="5">
        <v>44994</v>
      </c>
      <c r="F12" s="4">
        <v>476</v>
      </c>
      <c r="G12" s="4">
        <v>4940</v>
      </c>
      <c r="H12" s="4" t="s">
        <v>18</v>
      </c>
      <c r="I12" s="4" t="s">
        <v>19</v>
      </c>
      <c r="J12" s="4"/>
      <c r="K12" s="4" t="s">
        <v>39</v>
      </c>
      <c r="L12" s="4">
        <v>-112.87</v>
      </c>
      <c r="M12" s="4">
        <v>-112.87</v>
      </c>
      <c r="N12" s="5">
        <v>45007</v>
      </c>
      <c r="O12" s="4"/>
      <c r="P12" s="4" t="s">
        <v>20</v>
      </c>
    </row>
    <row r="13" spans="1:16" x14ac:dyDescent="0.25">
      <c r="A13" s="4" t="s">
        <v>17</v>
      </c>
      <c r="B13" s="5">
        <v>44966</v>
      </c>
      <c r="C13" s="4" t="str">
        <f>"8V00059956"</f>
        <v>8V00059956</v>
      </c>
      <c r="D13" s="4">
        <v>9026094161</v>
      </c>
      <c r="E13" s="5">
        <v>44987</v>
      </c>
      <c r="F13" s="4">
        <v>449</v>
      </c>
      <c r="G13" s="4">
        <v>3564</v>
      </c>
      <c r="H13" s="4" t="s">
        <v>40</v>
      </c>
      <c r="I13" s="4">
        <v>488410010</v>
      </c>
      <c r="J13" s="4" t="s">
        <v>41</v>
      </c>
      <c r="K13" s="4" t="s">
        <v>42</v>
      </c>
      <c r="L13" s="4">
        <v>123.51</v>
      </c>
      <c r="M13" s="4">
        <v>103.04</v>
      </c>
      <c r="N13" s="5">
        <v>45001</v>
      </c>
      <c r="O13" s="4"/>
      <c r="P13" s="4" t="s">
        <v>43</v>
      </c>
    </row>
    <row r="14" spans="1:16" x14ac:dyDescent="0.25">
      <c r="A14" s="4" t="s">
        <v>17</v>
      </c>
      <c r="B14" s="5">
        <v>44966</v>
      </c>
      <c r="C14" s="4" t="str">
        <f>"8V00060849"</f>
        <v>8V00060849</v>
      </c>
      <c r="D14" s="4">
        <v>9025856820</v>
      </c>
      <c r="E14" s="5">
        <v>44987</v>
      </c>
      <c r="F14" s="4">
        <v>442</v>
      </c>
      <c r="G14" s="4">
        <v>3564</v>
      </c>
      <c r="H14" s="4" t="s">
        <v>40</v>
      </c>
      <c r="I14" s="4">
        <v>488410010</v>
      </c>
      <c r="J14" s="4" t="s">
        <v>41</v>
      </c>
      <c r="K14" s="4" t="s">
        <v>42</v>
      </c>
      <c r="L14" s="4">
        <v>134.19999999999999</v>
      </c>
      <c r="M14" s="4">
        <v>110</v>
      </c>
      <c r="N14" s="5">
        <v>45000</v>
      </c>
      <c r="O14" s="4"/>
      <c r="P14" s="4" t="s">
        <v>32</v>
      </c>
    </row>
    <row r="15" spans="1:16" x14ac:dyDescent="0.25">
      <c r="A15" s="4" t="s">
        <v>17</v>
      </c>
      <c r="B15" s="5">
        <v>44966</v>
      </c>
      <c r="C15" s="4" t="str">
        <f>"8V00061614"</f>
        <v>8V00061614</v>
      </c>
      <c r="D15" s="4">
        <v>9025659806</v>
      </c>
      <c r="E15" s="5">
        <v>44987</v>
      </c>
      <c r="F15" s="4">
        <v>452</v>
      </c>
      <c r="G15" s="4">
        <v>3564</v>
      </c>
      <c r="H15" s="4" t="s">
        <v>40</v>
      </c>
      <c r="I15" s="4">
        <v>488410010</v>
      </c>
      <c r="J15" s="4" t="s">
        <v>41</v>
      </c>
      <c r="K15" s="4" t="s">
        <v>42</v>
      </c>
      <c r="L15" s="4">
        <v>841.8</v>
      </c>
      <c r="M15" s="4">
        <v>690</v>
      </c>
      <c r="N15" s="5">
        <v>45000</v>
      </c>
      <c r="O15" s="4"/>
      <c r="P15" s="4" t="s">
        <v>43</v>
      </c>
    </row>
    <row r="16" spans="1:16" x14ac:dyDescent="0.25">
      <c r="A16" s="4" t="s">
        <v>17</v>
      </c>
      <c r="B16" s="5">
        <v>44966</v>
      </c>
      <c r="C16" s="4" t="str">
        <f>"8V00061903"</f>
        <v>8V00061903</v>
      </c>
      <c r="D16" s="4">
        <v>9025432069</v>
      </c>
      <c r="E16" s="5">
        <v>44987</v>
      </c>
      <c r="F16" s="4">
        <v>448</v>
      </c>
      <c r="G16" s="4">
        <v>3564</v>
      </c>
      <c r="H16" s="4" t="s">
        <v>40</v>
      </c>
      <c r="I16" s="4">
        <v>488410010</v>
      </c>
      <c r="J16" s="4" t="s">
        <v>41</v>
      </c>
      <c r="K16" s="4" t="s">
        <v>42</v>
      </c>
      <c r="L16" s="4">
        <v>183</v>
      </c>
      <c r="M16" s="4">
        <v>150</v>
      </c>
      <c r="N16" s="5">
        <v>45000</v>
      </c>
      <c r="O16" s="4"/>
      <c r="P16" s="4" t="s">
        <v>43</v>
      </c>
    </row>
    <row r="17" spans="1:16" x14ac:dyDescent="0.25">
      <c r="A17" s="4" t="s">
        <v>17</v>
      </c>
      <c r="B17" s="5">
        <v>44966</v>
      </c>
      <c r="C17" s="4" t="str">
        <f>"8V00062002"</f>
        <v>8V00062002</v>
      </c>
      <c r="D17" s="4">
        <v>9026094140</v>
      </c>
      <c r="E17" s="5">
        <v>44987</v>
      </c>
      <c r="F17" s="4">
        <v>450</v>
      </c>
      <c r="G17" s="4">
        <v>3564</v>
      </c>
      <c r="H17" s="4" t="s">
        <v>40</v>
      </c>
      <c r="I17" s="4">
        <v>488410010</v>
      </c>
      <c r="J17" s="4" t="s">
        <v>41</v>
      </c>
      <c r="K17" s="4" t="s">
        <v>42</v>
      </c>
      <c r="L17" s="6">
        <v>1514.87</v>
      </c>
      <c r="M17" s="6">
        <v>1241.7</v>
      </c>
      <c r="N17" s="5">
        <v>45000</v>
      </c>
      <c r="O17" s="4"/>
      <c r="P17" s="4" t="s">
        <v>43</v>
      </c>
    </row>
    <row r="18" spans="1:16" x14ac:dyDescent="0.25">
      <c r="A18" s="4" t="s">
        <v>17</v>
      </c>
      <c r="B18" s="5">
        <v>44966</v>
      </c>
      <c r="C18" s="4" t="str">
        <f>"8V00062206"</f>
        <v>8V00062206</v>
      </c>
      <c r="D18" s="4">
        <v>9025431824</v>
      </c>
      <c r="E18" s="5">
        <v>44987</v>
      </c>
      <c r="F18" s="4">
        <v>447</v>
      </c>
      <c r="G18" s="4">
        <v>3564</v>
      </c>
      <c r="H18" s="4" t="s">
        <v>40</v>
      </c>
      <c r="I18" s="4">
        <v>488410010</v>
      </c>
      <c r="J18" s="4" t="s">
        <v>41</v>
      </c>
      <c r="K18" s="4" t="s">
        <v>42</v>
      </c>
      <c r="L18" s="4">
        <v>200.79</v>
      </c>
      <c r="M18" s="4">
        <v>164.58</v>
      </c>
      <c r="N18" s="5">
        <v>45000</v>
      </c>
      <c r="O18" s="4"/>
      <c r="P18" s="4" t="s">
        <v>43</v>
      </c>
    </row>
    <row r="19" spans="1:16" x14ac:dyDescent="0.25">
      <c r="A19" s="4" t="s">
        <v>17</v>
      </c>
      <c r="B19" s="5">
        <v>44966</v>
      </c>
      <c r="C19" s="4" t="str">
        <f>"8V00062484"</f>
        <v>8V00062484</v>
      </c>
      <c r="D19" s="4">
        <v>9026173284</v>
      </c>
      <c r="E19" s="5">
        <v>44987</v>
      </c>
      <c r="F19" s="4">
        <v>453</v>
      </c>
      <c r="G19" s="4">
        <v>3564</v>
      </c>
      <c r="H19" s="4" t="s">
        <v>40</v>
      </c>
      <c r="I19" s="4">
        <v>488410010</v>
      </c>
      <c r="J19" s="4" t="s">
        <v>41</v>
      </c>
      <c r="K19" s="4" t="s">
        <v>42</v>
      </c>
      <c r="L19" s="4">
        <v>121.02</v>
      </c>
      <c r="M19" s="4">
        <v>101</v>
      </c>
      <c r="N19" s="5">
        <v>45001</v>
      </c>
      <c r="O19" s="4"/>
      <c r="P19" s="4" t="s">
        <v>43</v>
      </c>
    </row>
    <row r="20" spans="1:16" x14ac:dyDescent="0.25">
      <c r="A20" s="4" t="s">
        <v>17</v>
      </c>
      <c r="B20" s="5">
        <v>44966</v>
      </c>
      <c r="C20" s="4" t="str">
        <f>"8V00062504"</f>
        <v>8V00062504</v>
      </c>
      <c r="D20" s="4">
        <v>9025489548</v>
      </c>
      <c r="E20" s="5">
        <v>44987</v>
      </c>
      <c r="F20" s="4">
        <v>439</v>
      </c>
      <c r="G20" s="4">
        <v>3564</v>
      </c>
      <c r="H20" s="4" t="s">
        <v>40</v>
      </c>
      <c r="I20" s="4">
        <v>488410010</v>
      </c>
      <c r="J20" s="4" t="s">
        <v>41</v>
      </c>
      <c r="K20" s="4" t="s">
        <v>42</v>
      </c>
      <c r="L20" s="4">
        <v>36.6</v>
      </c>
      <c r="M20" s="4">
        <v>30</v>
      </c>
      <c r="N20" s="5">
        <v>45000</v>
      </c>
      <c r="O20" s="4"/>
      <c r="P20" s="4" t="s">
        <v>32</v>
      </c>
    </row>
    <row r="21" spans="1:16" x14ac:dyDescent="0.25">
      <c r="A21" s="4" t="s">
        <v>17</v>
      </c>
      <c r="B21" s="5">
        <v>44966</v>
      </c>
      <c r="C21" s="4" t="str">
        <f>"8V00063059"</f>
        <v>8V00063059</v>
      </c>
      <c r="D21" s="4">
        <v>9025489506</v>
      </c>
      <c r="E21" s="5">
        <v>44987</v>
      </c>
      <c r="F21" s="4">
        <v>440</v>
      </c>
      <c r="G21" s="4">
        <v>3564</v>
      </c>
      <c r="H21" s="4" t="s">
        <v>40</v>
      </c>
      <c r="I21" s="4">
        <v>488410010</v>
      </c>
      <c r="J21" s="4" t="s">
        <v>41</v>
      </c>
      <c r="K21" s="4" t="s">
        <v>42</v>
      </c>
      <c r="L21" s="4">
        <v>91.03</v>
      </c>
      <c r="M21" s="4">
        <v>76.42</v>
      </c>
      <c r="N21" s="5">
        <v>45000</v>
      </c>
      <c r="O21" s="4"/>
      <c r="P21" s="4" t="s">
        <v>32</v>
      </c>
    </row>
    <row r="22" spans="1:16" x14ac:dyDescent="0.25">
      <c r="A22" s="4" t="s">
        <v>17</v>
      </c>
      <c r="B22" s="5">
        <v>44966</v>
      </c>
      <c r="C22" s="4" t="str">
        <f>"8V00063113"</f>
        <v>8V00063113</v>
      </c>
      <c r="D22" s="4">
        <v>9026093993</v>
      </c>
      <c r="E22" s="5">
        <v>44987</v>
      </c>
      <c r="F22" s="4">
        <v>451</v>
      </c>
      <c r="G22" s="4">
        <v>3564</v>
      </c>
      <c r="H22" s="4" t="s">
        <v>40</v>
      </c>
      <c r="I22" s="4">
        <v>488410010</v>
      </c>
      <c r="J22" s="4" t="s">
        <v>41</v>
      </c>
      <c r="K22" s="4" t="s">
        <v>42</v>
      </c>
      <c r="L22" s="4">
        <v>2.9</v>
      </c>
      <c r="M22" s="4">
        <v>2.39</v>
      </c>
      <c r="N22" s="5">
        <v>45001</v>
      </c>
      <c r="O22" s="4"/>
      <c r="P22" s="4" t="s">
        <v>43</v>
      </c>
    </row>
    <row r="23" spans="1:16" x14ac:dyDescent="0.25">
      <c r="A23" s="4" t="s">
        <v>17</v>
      </c>
      <c r="B23" s="5">
        <v>44966</v>
      </c>
      <c r="C23" s="4" t="str">
        <f>"8V00063285"</f>
        <v>8V00063285</v>
      </c>
      <c r="D23" s="4">
        <v>9025500322</v>
      </c>
      <c r="E23" s="5">
        <v>44987</v>
      </c>
      <c r="F23" s="4">
        <v>443</v>
      </c>
      <c r="G23" s="4">
        <v>3564</v>
      </c>
      <c r="H23" s="4" t="s">
        <v>40</v>
      </c>
      <c r="I23" s="4">
        <v>488410010</v>
      </c>
      <c r="J23" s="4" t="s">
        <v>41</v>
      </c>
      <c r="K23" s="4" t="s">
        <v>42</v>
      </c>
      <c r="L23" s="4">
        <v>180.8</v>
      </c>
      <c r="M23" s="4">
        <v>150</v>
      </c>
      <c r="N23" s="5">
        <v>45000</v>
      </c>
      <c r="O23" s="4"/>
      <c r="P23" s="4" t="s">
        <v>32</v>
      </c>
    </row>
    <row r="24" spans="1:16" x14ac:dyDescent="0.25">
      <c r="A24" s="4" t="s">
        <v>17</v>
      </c>
      <c r="B24" s="5">
        <v>44966</v>
      </c>
      <c r="C24" s="4" t="str">
        <f>"8V00063361"</f>
        <v>8V00063361</v>
      </c>
      <c r="D24" s="4">
        <v>9025489063</v>
      </c>
      <c r="E24" s="5">
        <v>44987</v>
      </c>
      <c r="F24" s="4">
        <v>441</v>
      </c>
      <c r="G24" s="4">
        <v>3564</v>
      </c>
      <c r="H24" s="4" t="s">
        <v>40</v>
      </c>
      <c r="I24" s="4">
        <v>488410010</v>
      </c>
      <c r="J24" s="4" t="s">
        <v>41</v>
      </c>
      <c r="K24" s="4" t="s">
        <v>42</v>
      </c>
      <c r="L24" s="4">
        <v>144.19999999999999</v>
      </c>
      <c r="M24" s="4">
        <v>120</v>
      </c>
      <c r="N24" s="5">
        <v>45000</v>
      </c>
      <c r="O24" s="4"/>
      <c r="P24" s="4" t="s">
        <v>32</v>
      </c>
    </row>
    <row r="25" spans="1:16" x14ac:dyDescent="0.25">
      <c r="A25" s="4" t="s">
        <v>17</v>
      </c>
      <c r="B25" s="5">
        <v>44966</v>
      </c>
      <c r="C25" s="4" t="str">
        <f>"8V00063622"</f>
        <v>8V00063622</v>
      </c>
      <c r="D25" s="4">
        <v>9025500311</v>
      </c>
      <c r="E25" s="5">
        <v>44987</v>
      </c>
      <c r="F25" s="4">
        <v>444</v>
      </c>
      <c r="G25" s="4">
        <v>3564</v>
      </c>
      <c r="H25" s="4" t="s">
        <v>40</v>
      </c>
      <c r="I25" s="4">
        <v>488410010</v>
      </c>
      <c r="J25" s="4" t="s">
        <v>41</v>
      </c>
      <c r="K25" s="4" t="s">
        <v>42</v>
      </c>
      <c r="L25" s="4">
        <v>134.19999999999999</v>
      </c>
      <c r="M25" s="4">
        <v>110</v>
      </c>
      <c r="N25" s="5">
        <v>45000</v>
      </c>
      <c r="O25" s="4"/>
      <c r="P25" s="4" t="s">
        <v>32</v>
      </c>
    </row>
    <row r="26" spans="1:16" x14ac:dyDescent="0.25">
      <c r="A26" s="4" t="s">
        <v>17</v>
      </c>
      <c r="B26" s="5">
        <v>44966</v>
      </c>
      <c r="C26" s="4" t="str">
        <f>"8V00063888"</f>
        <v>8V00063888</v>
      </c>
      <c r="D26" s="4">
        <v>9025500355</v>
      </c>
      <c r="E26" s="5">
        <v>44987</v>
      </c>
      <c r="F26" s="4">
        <v>445</v>
      </c>
      <c r="G26" s="4">
        <v>3564</v>
      </c>
      <c r="H26" s="4" t="s">
        <v>40</v>
      </c>
      <c r="I26" s="4">
        <v>488410010</v>
      </c>
      <c r="J26" s="4" t="s">
        <v>41</v>
      </c>
      <c r="K26" s="4" t="s">
        <v>42</v>
      </c>
      <c r="L26" s="4">
        <v>143.79</v>
      </c>
      <c r="M26" s="4">
        <v>117.86</v>
      </c>
      <c r="N26" s="5">
        <v>45000</v>
      </c>
      <c r="O26" s="4"/>
      <c r="P26" s="4" t="s">
        <v>32</v>
      </c>
    </row>
    <row r="27" spans="1:16" x14ac:dyDescent="0.25">
      <c r="A27" s="4" t="s">
        <v>17</v>
      </c>
      <c r="B27" s="5">
        <v>44966</v>
      </c>
      <c r="C27" s="4" t="str">
        <f>"8V00063920"</f>
        <v>8V00063920</v>
      </c>
      <c r="D27" s="4">
        <v>9025500327</v>
      </c>
      <c r="E27" s="5">
        <v>44987</v>
      </c>
      <c r="F27" s="4">
        <v>446</v>
      </c>
      <c r="G27" s="4">
        <v>3564</v>
      </c>
      <c r="H27" s="4" t="s">
        <v>40</v>
      </c>
      <c r="I27" s="4">
        <v>488410010</v>
      </c>
      <c r="J27" s="4" t="s">
        <v>41</v>
      </c>
      <c r="K27" s="4" t="s">
        <v>42</v>
      </c>
      <c r="L27" s="4">
        <v>80.28</v>
      </c>
      <c r="M27" s="4">
        <v>65.8</v>
      </c>
      <c r="N27" s="5">
        <v>45000</v>
      </c>
      <c r="O27" s="4"/>
      <c r="P27" s="4" t="s">
        <v>32</v>
      </c>
    </row>
    <row r="28" spans="1:16" x14ac:dyDescent="0.25">
      <c r="A28" s="4" t="s">
        <v>36</v>
      </c>
      <c r="B28" s="5">
        <v>44963</v>
      </c>
      <c r="C28" s="4" t="str">
        <f>"000026"</f>
        <v>000026</v>
      </c>
      <c r="D28" s="4">
        <v>8985405559</v>
      </c>
      <c r="E28" s="5">
        <v>44981</v>
      </c>
      <c r="F28" s="4">
        <v>378</v>
      </c>
      <c r="G28" s="4">
        <v>4839</v>
      </c>
      <c r="H28" s="4" t="s">
        <v>44</v>
      </c>
      <c r="I28" s="4" t="s">
        <v>45</v>
      </c>
      <c r="J28" s="4" t="s">
        <v>46</v>
      </c>
      <c r="K28" s="4"/>
      <c r="L28" s="6">
        <v>-3138.46</v>
      </c>
      <c r="M28" s="6">
        <v>-2669.85</v>
      </c>
      <c r="N28" s="5">
        <v>44995</v>
      </c>
      <c r="O28" s="4"/>
      <c r="P28" s="4" t="s">
        <v>20</v>
      </c>
    </row>
    <row r="29" spans="1:16" x14ac:dyDescent="0.25">
      <c r="A29" s="4" t="s">
        <v>17</v>
      </c>
      <c r="B29" s="5">
        <v>44963</v>
      </c>
      <c r="C29" s="4" t="str">
        <f>"23"</f>
        <v>23</v>
      </c>
      <c r="D29" s="4">
        <v>8983508707</v>
      </c>
      <c r="E29" s="5">
        <v>44980</v>
      </c>
      <c r="F29" s="4">
        <v>367</v>
      </c>
      <c r="G29" s="4">
        <v>7793</v>
      </c>
      <c r="H29" s="4" t="s">
        <v>47</v>
      </c>
      <c r="I29" s="4">
        <v>5648090826</v>
      </c>
      <c r="J29" s="4" t="s">
        <v>48</v>
      </c>
      <c r="K29" s="4" t="s">
        <v>49</v>
      </c>
      <c r="L29" s="6">
        <v>307563.3</v>
      </c>
      <c r="M29" s="6">
        <v>279603</v>
      </c>
      <c r="N29" s="5">
        <v>44994</v>
      </c>
      <c r="O29" s="4"/>
      <c r="P29" s="4" t="s">
        <v>20</v>
      </c>
    </row>
    <row r="30" spans="1:16" x14ac:dyDescent="0.25">
      <c r="A30" s="4" t="s">
        <v>17</v>
      </c>
      <c r="B30" s="5">
        <v>44959</v>
      </c>
      <c r="C30" s="4" t="str">
        <f>"02/2023"</f>
        <v>02/2023</v>
      </c>
      <c r="D30" s="4">
        <v>8953846230</v>
      </c>
      <c r="E30" s="5">
        <v>44977</v>
      </c>
      <c r="F30" s="4">
        <v>352</v>
      </c>
      <c r="G30" s="4">
        <v>4930</v>
      </c>
      <c r="H30" s="4" t="s">
        <v>50</v>
      </c>
      <c r="I30" s="4">
        <v>14764531001</v>
      </c>
      <c r="J30" s="4" t="s">
        <v>51</v>
      </c>
      <c r="K30" s="4"/>
      <c r="L30" s="6">
        <v>105772.98</v>
      </c>
      <c r="M30" s="6">
        <v>96157.25</v>
      </c>
      <c r="N30" s="5">
        <v>44989</v>
      </c>
      <c r="O30" s="4"/>
      <c r="P30" s="4" t="s">
        <v>20</v>
      </c>
    </row>
    <row r="31" spans="1:16" x14ac:dyDescent="0.25">
      <c r="A31" s="4" t="s">
        <v>36</v>
      </c>
      <c r="B31" s="5">
        <v>44958</v>
      </c>
      <c r="C31" s="4" t="str">
        <f>"13/2023"</f>
        <v>13/2023</v>
      </c>
      <c r="D31" s="4">
        <v>8948812434</v>
      </c>
      <c r="E31" s="5">
        <v>44965</v>
      </c>
      <c r="F31" s="4">
        <v>276</v>
      </c>
      <c r="G31" s="4">
        <v>7910</v>
      </c>
      <c r="H31" s="4" t="s">
        <v>52</v>
      </c>
      <c r="I31" s="4" t="s">
        <v>53</v>
      </c>
      <c r="J31" s="4" t="s">
        <v>54</v>
      </c>
      <c r="K31" s="4" t="s">
        <v>55</v>
      </c>
      <c r="L31" s="4">
        <v>-507.52</v>
      </c>
      <c r="M31" s="4">
        <v>-427.52</v>
      </c>
      <c r="N31" s="5">
        <v>44989</v>
      </c>
      <c r="O31" s="4"/>
      <c r="P31" s="4" t="s">
        <v>43</v>
      </c>
    </row>
    <row r="32" spans="1:16" x14ac:dyDescent="0.25">
      <c r="A32" s="4" t="s">
        <v>17</v>
      </c>
      <c r="B32" s="5">
        <v>44956</v>
      </c>
      <c r="C32" s="4" t="str">
        <f>"9/001"</f>
        <v>9/001</v>
      </c>
      <c r="D32" s="4">
        <v>8928426104</v>
      </c>
      <c r="E32" s="5">
        <v>44972</v>
      </c>
      <c r="F32" s="4">
        <v>327</v>
      </c>
      <c r="G32" s="4">
        <v>7579</v>
      </c>
      <c r="H32" s="4" t="s">
        <v>56</v>
      </c>
      <c r="I32" s="4">
        <v>2739690846</v>
      </c>
      <c r="J32" s="4" t="s">
        <v>57</v>
      </c>
      <c r="K32" s="4" t="s">
        <v>58</v>
      </c>
      <c r="L32" s="6">
        <v>61302.81</v>
      </c>
      <c r="M32" s="6">
        <v>61302.81</v>
      </c>
      <c r="N32" s="5">
        <v>44986</v>
      </c>
      <c r="O32" s="4"/>
      <c r="P32" s="4" t="s">
        <v>20</v>
      </c>
    </row>
    <row r="33" spans="1:16" x14ac:dyDescent="0.25">
      <c r="A33" s="4" t="s">
        <v>17</v>
      </c>
      <c r="B33" s="5">
        <v>44953</v>
      </c>
      <c r="C33" s="4" t="str">
        <f>"2023 6/S"</f>
        <v>2023 6/S</v>
      </c>
      <c r="D33" s="4">
        <v>8917518692</v>
      </c>
      <c r="E33" s="5">
        <v>44972</v>
      </c>
      <c r="F33" s="4">
        <v>326</v>
      </c>
      <c r="G33" s="4">
        <v>5049</v>
      </c>
      <c r="H33" s="4" t="s">
        <v>59</v>
      </c>
      <c r="I33" s="4">
        <v>2371850815</v>
      </c>
      <c r="J33" s="4" t="s">
        <v>60</v>
      </c>
      <c r="K33" s="4"/>
      <c r="L33" s="6">
        <v>40014.9</v>
      </c>
      <c r="M33" s="6">
        <v>40014.9</v>
      </c>
      <c r="N33" s="5">
        <v>44983</v>
      </c>
      <c r="O33" s="4"/>
      <c r="P33" s="4" t="s">
        <v>20</v>
      </c>
    </row>
    <row r="34" spans="1:16" x14ac:dyDescent="0.25">
      <c r="A34" s="4" t="s">
        <v>17</v>
      </c>
      <c r="B34" s="5">
        <v>44953</v>
      </c>
      <c r="C34" s="4" t="str">
        <f>"2023 7/S"</f>
        <v>2023 7/S</v>
      </c>
      <c r="D34" s="4">
        <v>8917516706</v>
      </c>
      <c r="E34" s="5">
        <v>44972</v>
      </c>
      <c r="F34" s="4">
        <v>324</v>
      </c>
      <c r="G34" s="4">
        <v>5049</v>
      </c>
      <c r="H34" s="4" t="s">
        <v>59</v>
      </c>
      <c r="I34" s="4">
        <v>2371850815</v>
      </c>
      <c r="J34" s="4" t="s">
        <v>60</v>
      </c>
      <c r="K34" s="4"/>
      <c r="L34" s="6">
        <v>63804.959999999999</v>
      </c>
      <c r="M34" s="6">
        <v>63804.959999999999</v>
      </c>
      <c r="N34" s="5">
        <v>44983</v>
      </c>
      <c r="O34" s="4"/>
      <c r="P34" s="4" t="s">
        <v>20</v>
      </c>
    </row>
    <row r="35" spans="1:16" x14ac:dyDescent="0.25">
      <c r="A35" s="4" t="s">
        <v>17</v>
      </c>
      <c r="B35" s="5">
        <v>44953</v>
      </c>
      <c r="C35" s="4" t="str">
        <f>"7/001"</f>
        <v>7/001</v>
      </c>
      <c r="D35" s="4">
        <v>8916595227</v>
      </c>
      <c r="E35" s="5">
        <v>44972</v>
      </c>
      <c r="F35" s="4">
        <v>323</v>
      </c>
      <c r="G35" s="4">
        <v>7579</v>
      </c>
      <c r="H35" s="4" t="s">
        <v>56</v>
      </c>
      <c r="I35" s="4">
        <v>2739690846</v>
      </c>
      <c r="J35" s="4" t="s">
        <v>57</v>
      </c>
      <c r="K35" s="4" t="s">
        <v>58</v>
      </c>
      <c r="L35" s="6">
        <v>38445.69</v>
      </c>
      <c r="M35" s="6">
        <v>38445.69</v>
      </c>
      <c r="N35" s="5">
        <v>44983</v>
      </c>
      <c r="O35" s="4"/>
      <c r="P35" s="4" t="s">
        <v>20</v>
      </c>
    </row>
    <row r="36" spans="1:16" x14ac:dyDescent="0.25">
      <c r="A36" s="4" t="s">
        <v>17</v>
      </c>
      <c r="B36" s="5">
        <v>44935</v>
      </c>
      <c r="C36" s="4" t="str">
        <f>"1"</f>
        <v>1</v>
      </c>
      <c r="D36" s="4">
        <v>8825233733</v>
      </c>
      <c r="E36" s="5">
        <v>44956</v>
      </c>
      <c r="F36" s="4">
        <v>243</v>
      </c>
      <c r="G36" s="4">
        <v>528</v>
      </c>
      <c r="H36" s="4" t="s">
        <v>27</v>
      </c>
      <c r="I36" s="4" t="s">
        <v>28</v>
      </c>
      <c r="J36" s="4" t="s">
        <v>29</v>
      </c>
      <c r="K36" s="4"/>
      <c r="L36" s="4">
        <v>47.78</v>
      </c>
      <c r="M36" s="4">
        <v>39.159999999999997</v>
      </c>
      <c r="N36" s="5">
        <v>44969</v>
      </c>
      <c r="O36" s="4"/>
      <c r="P36" s="4" t="s">
        <v>20</v>
      </c>
    </row>
    <row r="37" spans="1:16" x14ac:dyDescent="0.25">
      <c r="A37" s="4" t="s">
        <v>17</v>
      </c>
      <c r="B37" s="5">
        <v>44935</v>
      </c>
      <c r="C37" s="4" t="str">
        <f>"FPA 1/23"</f>
        <v>FPA 1/23</v>
      </c>
      <c r="D37" s="4">
        <v>8790737034</v>
      </c>
      <c r="E37" s="5">
        <v>44951</v>
      </c>
      <c r="F37" s="4">
        <v>219</v>
      </c>
      <c r="G37" s="4">
        <v>4940</v>
      </c>
      <c r="H37" s="4" t="s">
        <v>18</v>
      </c>
      <c r="I37" s="4" t="s">
        <v>19</v>
      </c>
      <c r="J37" s="4"/>
      <c r="K37" s="4"/>
      <c r="L37" s="4">
        <v>112.87</v>
      </c>
      <c r="M37" s="4">
        <v>112.87</v>
      </c>
      <c r="N37" s="5">
        <v>44965</v>
      </c>
      <c r="O37" s="4"/>
      <c r="P37" s="4" t="s">
        <v>20</v>
      </c>
    </row>
    <row r="38" spans="1:16" x14ac:dyDescent="0.25">
      <c r="A38" s="4" t="s">
        <v>17</v>
      </c>
      <c r="B38" s="5">
        <v>44935</v>
      </c>
      <c r="C38" s="4" t="str">
        <f>"02/2023"</f>
        <v>02/2023</v>
      </c>
      <c r="D38" s="4">
        <v>8792337997</v>
      </c>
      <c r="E38" s="5">
        <v>44950</v>
      </c>
      <c r="F38" s="4">
        <v>190</v>
      </c>
      <c r="G38" s="4">
        <v>7910</v>
      </c>
      <c r="H38" s="4" t="s">
        <v>52</v>
      </c>
      <c r="I38" s="4" t="s">
        <v>53</v>
      </c>
      <c r="J38" s="4" t="s">
        <v>54</v>
      </c>
      <c r="K38" s="4"/>
      <c r="L38" s="6">
        <v>1015.04</v>
      </c>
      <c r="M38" s="4">
        <v>855.04</v>
      </c>
      <c r="N38" s="5">
        <v>44965</v>
      </c>
      <c r="O38" s="4"/>
      <c r="P38" s="4" t="s">
        <v>43</v>
      </c>
    </row>
    <row r="39" spans="1:16" x14ac:dyDescent="0.25">
      <c r="A39" s="4" t="s">
        <v>17</v>
      </c>
      <c r="B39" s="5">
        <v>44931</v>
      </c>
      <c r="C39" s="4" t="str">
        <f>"3"</f>
        <v>3</v>
      </c>
      <c r="D39" s="4">
        <v>8779065970</v>
      </c>
      <c r="E39" s="5">
        <v>44943</v>
      </c>
      <c r="F39" s="4">
        <v>54</v>
      </c>
      <c r="G39" s="4">
        <v>4256</v>
      </c>
      <c r="H39" s="4" t="s">
        <v>61</v>
      </c>
      <c r="I39" s="4">
        <v>3882030822</v>
      </c>
      <c r="J39" s="4" t="s">
        <v>62</v>
      </c>
      <c r="K39" s="4" t="s">
        <v>63</v>
      </c>
      <c r="L39" s="6">
        <v>6921.31</v>
      </c>
      <c r="M39" s="6">
        <v>6591.72</v>
      </c>
      <c r="N39" s="5">
        <v>44962</v>
      </c>
      <c r="O39" s="4"/>
      <c r="P39" s="4" t="s">
        <v>32</v>
      </c>
    </row>
    <row r="40" spans="1:16" x14ac:dyDescent="0.25">
      <c r="A40" s="4" t="s">
        <v>17</v>
      </c>
      <c r="B40" s="5">
        <v>44930</v>
      </c>
      <c r="C40" s="4" t="str">
        <f>"1/2023/FE"</f>
        <v>1/2023/FE</v>
      </c>
      <c r="D40" s="4">
        <v>8769329435</v>
      </c>
      <c r="E40" s="5">
        <v>44950</v>
      </c>
      <c r="F40" s="4">
        <v>201</v>
      </c>
      <c r="G40" s="4">
        <v>4917</v>
      </c>
      <c r="H40" s="4" t="s">
        <v>64</v>
      </c>
      <c r="I40" s="4" t="s">
        <v>65</v>
      </c>
      <c r="J40" s="4" t="s">
        <v>66</v>
      </c>
      <c r="K40" s="4" t="s">
        <v>67</v>
      </c>
      <c r="L40" s="6">
        <v>1564.88</v>
      </c>
      <c r="M40" s="6">
        <v>1564.88</v>
      </c>
      <c r="N40" s="5">
        <v>44960</v>
      </c>
      <c r="O40" s="4"/>
      <c r="P40" s="4" t="s">
        <v>20</v>
      </c>
    </row>
    <row r="41" spans="1:16" x14ac:dyDescent="0.25">
      <c r="A41" s="4" t="s">
        <v>17</v>
      </c>
      <c r="B41" s="5">
        <v>44929</v>
      </c>
      <c r="C41" s="4" t="str">
        <f>"1/1"</f>
        <v>1/1</v>
      </c>
      <c r="D41" s="4">
        <v>8764449450</v>
      </c>
      <c r="E41" s="5">
        <v>44950</v>
      </c>
      <c r="F41" s="4">
        <v>198</v>
      </c>
      <c r="G41" s="4">
        <v>4114</v>
      </c>
      <c r="H41" s="4" t="s">
        <v>68</v>
      </c>
      <c r="I41" s="4"/>
      <c r="J41" s="4" t="s">
        <v>69</v>
      </c>
      <c r="K41" s="4"/>
      <c r="L41" s="6">
        <v>2453.9899999999998</v>
      </c>
      <c r="M41" s="6">
        <v>2230.9</v>
      </c>
      <c r="N41" s="5">
        <v>44959</v>
      </c>
      <c r="O41" s="4"/>
      <c r="P41" s="4" t="s">
        <v>20</v>
      </c>
    </row>
    <row r="42" spans="1:16" x14ac:dyDescent="0.25">
      <c r="A42" s="4" t="s">
        <v>17</v>
      </c>
      <c r="B42" s="5">
        <v>44926</v>
      </c>
      <c r="C42" s="4" t="str">
        <f>"FATTPA 227_22"</f>
        <v>FATTPA 227_22</v>
      </c>
      <c r="D42" s="4">
        <v>8751562549</v>
      </c>
      <c r="E42" s="5">
        <v>44943</v>
      </c>
      <c r="F42" s="4">
        <v>48</v>
      </c>
      <c r="G42" s="4">
        <v>7815</v>
      </c>
      <c r="H42" s="4" t="s">
        <v>70</v>
      </c>
      <c r="I42" s="4">
        <v>1845020856</v>
      </c>
      <c r="J42" s="4" t="s">
        <v>71</v>
      </c>
      <c r="K42" s="4"/>
      <c r="L42" s="4">
        <v>842.58</v>
      </c>
      <c r="M42" s="4">
        <v>842.58</v>
      </c>
      <c r="N42" s="5">
        <v>44956</v>
      </c>
      <c r="O42" s="4"/>
      <c r="P42" s="4" t="s">
        <v>32</v>
      </c>
    </row>
    <row r="43" spans="1:16" x14ac:dyDescent="0.25">
      <c r="A43" s="4" t="s">
        <v>36</v>
      </c>
      <c r="B43" s="5">
        <v>44918</v>
      </c>
      <c r="C43" s="4" t="str">
        <f>"NC. 4A/2022"</f>
        <v>NC. 4A/2022</v>
      </c>
      <c r="D43" s="4">
        <v>8733597674</v>
      </c>
      <c r="E43" s="5">
        <v>44943</v>
      </c>
      <c r="F43" s="4">
        <v>77</v>
      </c>
      <c r="G43" s="4">
        <v>7908</v>
      </c>
      <c r="H43" s="4" t="s">
        <v>72</v>
      </c>
      <c r="I43" s="4">
        <v>2707630832</v>
      </c>
      <c r="J43" s="4" t="s">
        <v>73</v>
      </c>
      <c r="K43" s="4" t="s">
        <v>74</v>
      </c>
      <c r="L43" s="6">
        <v>-579009.27</v>
      </c>
      <c r="M43" s="6">
        <v>-474597.76</v>
      </c>
      <c r="N43" s="5">
        <v>44926</v>
      </c>
      <c r="O43" s="4"/>
      <c r="P43" s="4" t="s">
        <v>20</v>
      </c>
    </row>
    <row r="44" spans="1:16" x14ac:dyDescent="0.25">
      <c r="A44" s="4" t="s">
        <v>17</v>
      </c>
      <c r="B44" s="5">
        <v>44915</v>
      </c>
      <c r="C44" s="4" t="str">
        <f>"FPA 31/22"</f>
        <v>FPA 31/22</v>
      </c>
      <c r="D44" s="4">
        <v>8674992998</v>
      </c>
      <c r="E44" s="5">
        <v>44943</v>
      </c>
      <c r="F44" s="4">
        <v>75</v>
      </c>
      <c r="G44" s="4">
        <v>7779</v>
      </c>
      <c r="H44" s="4" t="s">
        <v>37</v>
      </c>
      <c r="I44" s="4">
        <v>5730290870</v>
      </c>
      <c r="J44" s="4" t="s">
        <v>38</v>
      </c>
      <c r="K44" s="4"/>
      <c r="L44" s="6">
        <v>5217.3</v>
      </c>
      <c r="M44" s="6">
        <v>4743</v>
      </c>
      <c r="N44" s="5">
        <v>44947</v>
      </c>
      <c r="O44" s="4"/>
      <c r="P44" s="4" t="s">
        <v>20</v>
      </c>
    </row>
    <row r="45" spans="1:16" x14ac:dyDescent="0.25">
      <c r="A45" s="4" t="s">
        <v>17</v>
      </c>
      <c r="B45" s="5">
        <v>44910</v>
      </c>
      <c r="C45" s="4" t="str">
        <f>"000072"</f>
        <v>000072</v>
      </c>
      <c r="D45" s="4">
        <v>8666624948</v>
      </c>
      <c r="E45" s="5">
        <v>44922</v>
      </c>
      <c r="F45" s="4">
        <v>2671</v>
      </c>
      <c r="G45" s="4">
        <v>4654</v>
      </c>
      <c r="H45" s="4" t="s">
        <v>75</v>
      </c>
      <c r="I45" s="4"/>
      <c r="J45" s="4" t="s">
        <v>76</v>
      </c>
      <c r="K45" s="4"/>
      <c r="L45" s="6">
        <v>22660</v>
      </c>
      <c r="M45" s="6">
        <v>2418.1799999999998</v>
      </c>
      <c r="N45" s="5">
        <v>44946</v>
      </c>
      <c r="O45" s="4"/>
      <c r="P45" s="4" t="s">
        <v>20</v>
      </c>
    </row>
    <row r="46" spans="1:16" x14ac:dyDescent="0.25">
      <c r="A46" s="4" t="s">
        <v>17</v>
      </c>
      <c r="B46" s="5">
        <v>44907</v>
      </c>
      <c r="C46" s="4" t="str">
        <f>"8V00564630"</f>
        <v>8V00564630</v>
      </c>
      <c r="D46" s="4">
        <v>8656703335</v>
      </c>
      <c r="E46" s="5">
        <v>44914</v>
      </c>
      <c r="F46" s="4">
        <v>2649</v>
      </c>
      <c r="G46" s="4">
        <v>3564</v>
      </c>
      <c r="H46" s="4" t="s">
        <v>40</v>
      </c>
      <c r="I46" s="4">
        <v>488410010</v>
      </c>
      <c r="J46" s="4" t="s">
        <v>41</v>
      </c>
      <c r="K46" s="4" t="s">
        <v>77</v>
      </c>
      <c r="L46" s="4">
        <v>841.8</v>
      </c>
      <c r="M46" s="4">
        <v>690</v>
      </c>
      <c r="N46" s="5">
        <v>44942</v>
      </c>
      <c r="O46" s="4"/>
      <c r="P46" s="4" t="s">
        <v>43</v>
      </c>
    </row>
    <row r="47" spans="1:16" x14ac:dyDescent="0.25">
      <c r="A47" s="4" t="s">
        <v>17</v>
      </c>
      <c r="B47" s="5">
        <v>44902</v>
      </c>
      <c r="C47" s="4" t="str">
        <f>"1130"</f>
        <v>1130</v>
      </c>
      <c r="D47" s="4">
        <v>8629686832</v>
      </c>
      <c r="E47" s="5">
        <v>44943</v>
      </c>
      <c r="F47" s="4">
        <v>27</v>
      </c>
      <c r="G47" s="4">
        <v>528</v>
      </c>
      <c r="H47" s="4" t="s">
        <v>27</v>
      </c>
      <c r="I47" s="4" t="s">
        <v>28</v>
      </c>
      <c r="J47" s="4" t="s">
        <v>29</v>
      </c>
      <c r="K47" s="4"/>
      <c r="L47" s="4">
        <v>161.66999999999999</v>
      </c>
      <c r="M47" s="4">
        <v>132.52000000000001</v>
      </c>
      <c r="N47" s="5">
        <v>44939</v>
      </c>
      <c r="O47" s="4"/>
      <c r="P47" s="4" t="s">
        <v>20</v>
      </c>
    </row>
    <row r="48" spans="1:16" x14ac:dyDescent="0.25">
      <c r="A48" s="4" t="s">
        <v>17</v>
      </c>
      <c r="B48" s="5">
        <v>44900</v>
      </c>
      <c r="C48" s="4" t="str">
        <f>"000322"</f>
        <v>000322</v>
      </c>
      <c r="D48" s="4">
        <v>8599510321</v>
      </c>
      <c r="E48" s="5">
        <v>44943</v>
      </c>
      <c r="F48" s="4">
        <v>26</v>
      </c>
      <c r="G48" s="4">
        <v>4839</v>
      </c>
      <c r="H48" s="4" t="s">
        <v>44</v>
      </c>
      <c r="I48" s="4" t="s">
        <v>45</v>
      </c>
      <c r="J48" s="4" t="s">
        <v>46</v>
      </c>
      <c r="K48" s="4"/>
      <c r="L48" s="6">
        <v>3138.46</v>
      </c>
      <c r="M48" s="6">
        <v>2669.85</v>
      </c>
      <c r="N48" s="5">
        <v>44934</v>
      </c>
      <c r="O48" s="4"/>
      <c r="P48" s="4" t="s">
        <v>20</v>
      </c>
    </row>
    <row r="49" spans="1:16" x14ac:dyDescent="0.25">
      <c r="A49" s="4" t="s">
        <v>17</v>
      </c>
      <c r="B49" s="5">
        <v>44897</v>
      </c>
      <c r="C49" s="4" t="str">
        <f>"8/01"</f>
        <v>8/01</v>
      </c>
      <c r="D49" s="4">
        <v>8556984204</v>
      </c>
      <c r="E49" s="5">
        <v>44914</v>
      </c>
      <c r="F49" s="4">
        <v>2644</v>
      </c>
      <c r="G49" s="4">
        <v>7748</v>
      </c>
      <c r="H49" s="4" t="s">
        <v>78</v>
      </c>
      <c r="I49" s="4">
        <v>1216770071</v>
      </c>
      <c r="J49" s="4" t="s">
        <v>79</v>
      </c>
      <c r="K49" s="4"/>
      <c r="L49" s="4">
        <v>176.25</v>
      </c>
      <c r="M49" s="4">
        <v>144.47</v>
      </c>
      <c r="N49" s="5">
        <v>44928</v>
      </c>
      <c r="O49" s="4"/>
      <c r="P49" s="4" t="s">
        <v>20</v>
      </c>
    </row>
    <row r="50" spans="1:16" x14ac:dyDescent="0.25">
      <c r="A50" s="4" t="s">
        <v>17</v>
      </c>
      <c r="B50" s="5">
        <v>44896</v>
      </c>
      <c r="C50" s="4" t="str">
        <f>"47/001"</f>
        <v>47/001</v>
      </c>
      <c r="D50" s="4">
        <v>8544589003</v>
      </c>
      <c r="E50" s="5">
        <v>44914</v>
      </c>
      <c r="F50" s="4">
        <v>2642</v>
      </c>
      <c r="G50" s="4">
        <v>7579</v>
      </c>
      <c r="H50" s="4" t="s">
        <v>56</v>
      </c>
      <c r="I50" s="4">
        <v>2739690846</v>
      </c>
      <c r="J50" s="4" t="s">
        <v>57</v>
      </c>
      <c r="K50" s="4" t="s">
        <v>80</v>
      </c>
      <c r="L50" s="6">
        <v>134668.79</v>
      </c>
      <c r="M50" s="6">
        <v>85668.79</v>
      </c>
      <c r="N50" s="5">
        <v>44926</v>
      </c>
      <c r="O50" s="4"/>
      <c r="P50" s="4" t="s">
        <v>20</v>
      </c>
    </row>
    <row r="51" spans="1:16" x14ac:dyDescent="0.25">
      <c r="A51" s="4" t="s">
        <v>17</v>
      </c>
      <c r="B51" s="5">
        <v>44895</v>
      </c>
      <c r="C51" s="4" t="str">
        <f>"2022 49/S"</f>
        <v>2022 49/S</v>
      </c>
      <c r="D51" s="4">
        <v>8541457954</v>
      </c>
      <c r="E51" s="5">
        <v>44914</v>
      </c>
      <c r="F51" s="4">
        <v>2643</v>
      </c>
      <c r="G51" s="4">
        <v>5049</v>
      </c>
      <c r="H51" s="4" t="s">
        <v>59</v>
      </c>
      <c r="I51" s="4">
        <v>2371850815</v>
      </c>
      <c r="J51" s="4" t="s">
        <v>60</v>
      </c>
      <c r="K51" s="4"/>
      <c r="L51" s="6">
        <v>140165.49</v>
      </c>
      <c r="M51" s="6">
        <v>89165.49</v>
      </c>
      <c r="N51" s="5">
        <v>44927</v>
      </c>
      <c r="O51" s="4"/>
      <c r="P51" s="4" t="s">
        <v>20</v>
      </c>
    </row>
    <row r="52" spans="1:16" x14ac:dyDescent="0.25">
      <c r="A52" s="4" t="s">
        <v>17</v>
      </c>
      <c r="B52" s="5">
        <v>44895</v>
      </c>
      <c r="C52" s="4" t="str">
        <f>"FATTPA 207_22"</f>
        <v>FATTPA 207_22</v>
      </c>
      <c r="D52" s="4">
        <v>8532116238</v>
      </c>
      <c r="E52" s="5">
        <v>44900</v>
      </c>
      <c r="F52" s="4">
        <v>2516</v>
      </c>
      <c r="G52" s="4">
        <v>7815</v>
      </c>
      <c r="H52" s="4" t="s">
        <v>70</v>
      </c>
      <c r="I52" s="4">
        <v>1845020856</v>
      </c>
      <c r="J52" s="4" t="s">
        <v>71</v>
      </c>
      <c r="K52" s="4"/>
      <c r="L52" s="4">
        <v>815.4</v>
      </c>
      <c r="M52" s="4">
        <v>815.4</v>
      </c>
      <c r="N52" s="5">
        <v>44926</v>
      </c>
      <c r="O52" s="4"/>
      <c r="P52" s="4" t="s">
        <v>32</v>
      </c>
    </row>
    <row r="53" spans="1:16" x14ac:dyDescent="0.25">
      <c r="A53" s="4" t="s">
        <v>17</v>
      </c>
      <c r="B53" s="5">
        <v>44895</v>
      </c>
      <c r="C53" s="4" t="str">
        <f>"22106037"</f>
        <v>22106037</v>
      </c>
      <c r="D53" s="4">
        <v>8527953955</v>
      </c>
      <c r="E53" s="5">
        <v>44896</v>
      </c>
      <c r="F53" s="4">
        <v>2505</v>
      </c>
      <c r="G53" s="4">
        <v>7878</v>
      </c>
      <c r="H53" s="4" t="s">
        <v>81</v>
      </c>
      <c r="I53" s="4">
        <v>5773090013</v>
      </c>
      <c r="J53" s="4" t="s">
        <v>82</v>
      </c>
      <c r="K53" s="4" t="s">
        <v>83</v>
      </c>
      <c r="L53" s="4">
        <v>367.63</v>
      </c>
      <c r="M53" s="4">
        <v>26.55</v>
      </c>
      <c r="N53" s="5">
        <v>44925</v>
      </c>
      <c r="O53" s="4"/>
      <c r="P53" s="4" t="s">
        <v>84</v>
      </c>
    </row>
    <row r="54" spans="1:16" x14ac:dyDescent="0.25">
      <c r="A54" s="4" t="s">
        <v>17</v>
      </c>
      <c r="B54" s="5">
        <v>44893</v>
      </c>
      <c r="C54" s="4" t="str">
        <f>"6/PA"</f>
        <v>6/PA</v>
      </c>
      <c r="D54" s="4">
        <v>8530657929</v>
      </c>
      <c r="E54" s="5">
        <v>44911</v>
      </c>
      <c r="F54" s="4">
        <v>2583</v>
      </c>
      <c r="G54" s="4">
        <v>3275</v>
      </c>
      <c r="H54" s="4" t="s">
        <v>85</v>
      </c>
      <c r="I54" s="4" t="s">
        <v>86</v>
      </c>
      <c r="J54" s="4" t="s">
        <v>87</v>
      </c>
      <c r="K54" s="4"/>
      <c r="L54" s="6">
        <v>9071.92</v>
      </c>
      <c r="M54" s="6">
        <v>7641.92</v>
      </c>
      <c r="N54" s="5">
        <v>44925</v>
      </c>
      <c r="O54" s="4"/>
      <c r="P54" s="4" t="s">
        <v>20</v>
      </c>
    </row>
    <row r="55" spans="1:16" x14ac:dyDescent="0.25">
      <c r="A55" s="4" t="s">
        <v>17</v>
      </c>
      <c r="B55" s="5">
        <v>44881</v>
      </c>
      <c r="C55" s="4" t="str">
        <f>"1/PA"</f>
        <v>1/PA</v>
      </c>
      <c r="D55" s="4">
        <v>8447611398</v>
      </c>
      <c r="E55" s="5">
        <v>44889</v>
      </c>
      <c r="F55" s="4">
        <v>2480</v>
      </c>
      <c r="G55" s="4">
        <v>7838</v>
      </c>
      <c r="H55" s="4" t="s">
        <v>88</v>
      </c>
      <c r="I55" s="4" t="s">
        <v>89</v>
      </c>
      <c r="J55" s="4" t="s">
        <v>90</v>
      </c>
      <c r="K55" s="4" t="s">
        <v>49</v>
      </c>
      <c r="L55" s="4">
        <v>131.21</v>
      </c>
      <c r="M55" s="4">
        <v>107.55</v>
      </c>
      <c r="N55" s="5">
        <v>44911</v>
      </c>
      <c r="O55" s="4"/>
      <c r="P55" s="4" t="s">
        <v>91</v>
      </c>
    </row>
    <row r="56" spans="1:16" x14ac:dyDescent="0.25">
      <c r="A56" s="4" t="s">
        <v>17</v>
      </c>
      <c r="B56" s="5">
        <v>44881</v>
      </c>
      <c r="C56" s="4" t="str">
        <f>"2/PA"</f>
        <v>2/PA</v>
      </c>
      <c r="D56" s="4">
        <v>8447611553</v>
      </c>
      <c r="E56" s="5">
        <v>44889</v>
      </c>
      <c r="F56" s="4">
        <v>2477</v>
      </c>
      <c r="G56" s="4">
        <v>7838</v>
      </c>
      <c r="H56" s="4" t="s">
        <v>88</v>
      </c>
      <c r="I56" s="4" t="s">
        <v>89</v>
      </c>
      <c r="J56" s="4" t="s">
        <v>90</v>
      </c>
      <c r="K56" s="4" t="s">
        <v>49</v>
      </c>
      <c r="L56" s="4">
        <v>136.55000000000001</v>
      </c>
      <c r="M56" s="4">
        <v>111.93</v>
      </c>
      <c r="N56" s="5">
        <v>44911</v>
      </c>
      <c r="O56" s="4"/>
      <c r="P56" s="4" t="s">
        <v>91</v>
      </c>
    </row>
    <row r="57" spans="1:16" x14ac:dyDescent="0.25">
      <c r="A57" s="4" t="s">
        <v>17</v>
      </c>
      <c r="B57" s="5">
        <v>44881</v>
      </c>
      <c r="C57" s="4" t="str">
        <f>"3/PA"</f>
        <v>3/PA</v>
      </c>
      <c r="D57" s="4">
        <v>8447611756</v>
      </c>
      <c r="E57" s="5">
        <v>44889</v>
      </c>
      <c r="F57" s="4">
        <v>2478</v>
      </c>
      <c r="G57" s="4">
        <v>7838</v>
      </c>
      <c r="H57" s="4" t="s">
        <v>88</v>
      </c>
      <c r="I57" s="4" t="s">
        <v>89</v>
      </c>
      <c r="J57" s="4" t="s">
        <v>90</v>
      </c>
      <c r="K57" s="4" t="s">
        <v>49</v>
      </c>
      <c r="L57" s="4">
        <v>214.02</v>
      </c>
      <c r="M57" s="4">
        <v>175.43</v>
      </c>
      <c r="N57" s="5">
        <v>44911</v>
      </c>
      <c r="O57" s="4"/>
      <c r="P57" s="4" t="s">
        <v>91</v>
      </c>
    </row>
    <row r="58" spans="1:16" x14ac:dyDescent="0.25">
      <c r="A58" s="4" t="s">
        <v>17</v>
      </c>
      <c r="B58" s="5">
        <v>44881</v>
      </c>
      <c r="C58" s="4" t="str">
        <f>"4/PA"</f>
        <v>4/PA</v>
      </c>
      <c r="D58" s="4">
        <v>8447611632</v>
      </c>
      <c r="E58" s="5">
        <v>44889</v>
      </c>
      <c r="F58" s="4">
        <v>2476</v>
      </c>
      <c r="G58" s="4">
        <v>7838</v>
      </c>
      <c r="H58" s="4" t="s">
        <v>88</v>
      </c>
      <c r="I58" s="4" t="s">
        <v>89</v>
      </c>
      <c r="J58" s="4" t="s">
        <v>90</v>
      </c>
      <c r="K58" s="4" t="s">
        <v>49</v>
      </c>
      <c r="L58" s="4">
        <v>121.05</v>
      </c>
      <c r="M58" s="4">
        <v>99.22</v>
      </c>
      <c r="N58" s="5">
        <v>44911</v>
      </c>
      <c r="O58" s="4"/>
      <c r="P58" s="4" t="s">
        <v>91</v>
      </c>
    </row>
    <row r="59" spans="1:16" x14ac:dyDescent="0.25">
      <c r="A59" s="4" t="s">
        <v>17</v>
      </c>
      <c r="B59" s="5">
        <v>44881</v>
      </c>
      <c r="C59" s="4" t="str">
        <f>"5/PA"</f>
        <v>5/PA</v>
      </c>
      <c r="D59" s="4">
        <v>8447611687</v>
      </c>
      <c r="E59" s="5">
        <v>44889</v>
      </c>
      <c r="F59" s="4">
        <v>2479</v>
      </c>
      <c r="G59" s="4">
        <v>7838</v>
      </c>
      <c r="H59" s="4" t="s">
        <v>88</v>
      </c>
      <c r="I59" s="4" t="s">
        <v>89</v>
      </c>
      <c r="J59" s="4" t="s">
        <v>90</v>
      </c>
      <c r="K59" s="4" t="s">
        <v>49</v>
      </c>
      <c r="L59" s="4">
        <v>2.9</v>
      </c>
      <c r="M59" s="4">
        <v>2.38</v>
      </c>
      <c r="N59" s="5">
        <v>44911</v>
      </c>
      <c r="O59" s="4"/>
      <c r="P59" s="4" t="s">
        <v>91</v>
      </c>
    </row>
    <row r="60" spans="1:16" x14ac:dyDescent="0.25">
      <c r="A60" s="4" t="s">
        <v>17</v>
      </c>
      <c r="B60" s="5">
        <v>44869</v>
      </c>
      <c r="C60" s="4" t="str">
        <f>"15-2022-PA"</f>
        <v>15-2022-PA</v>
      </c>
      <c r="D60" s="4">
        <v>8358372655</v>
      </c>
      <c r="E60" s="5">
        <v>44887</v>
      </c>
      <c r="F60" s="4">
        <v>2342</v>
      </c>
      <c r="G60" s="4">
        <v>4927</v>
      </c>
      <c r="H60" s="4" t="s">
        <v>92</v>
      </c>
      <c r="I60" s="4">
        <v>1521480812</v>
      </c>
      <c r="J60" s="4" t="s">
        <v>93</v>
      </c>
      <c r="K60" s="4" t="s">
        <v>94</v>
      </c>
      <c r="L60" s="4">
        <v>125.54</v>
      </c>
      <c r="M60" s="4">
        <v>125.54</v>
      </c>
      <c r="N60" s="5">
        <v>44899</v>
      </c>
      <c r="O60" s="4"/>
      <c r="P60" s="4" t="s">
        <v>20</v>
      </c>
    </row>
    <row r="61" spans="1:16" x14ac:dyDescent="0.25">
      <c r="A61" s="4" t="s">
        <v>17</v>
      </c>
      <c r="B61" s="5">
        <v>44869</v>
      </c>
      <c r="C61" s="4" t="str">
        <f>"16-2022-PA"</f>
        <v>16-2022-PA</v>
      </c>
      <c r="D61" s="4">
        <v>8358435589</v>
      </c>
      <c r="E61" s="5">
        <v>44887</v>
      </c>
      <c r="F61" s="4">
        <v>2343</v>
      </c>
      <c r="G61" s="4">
        <v>4927</v>
      </c>
      <c r="H61" s="4" t="s">
        <v>92</v>
      </c>
      <c r="I61" s="4">
        <v>1521480812</v>
      </c>
      <c r="J61" s="4" t="s">
        <v>93</v>
      </c>
      <c r="K61" s="4" t="s">
        <v>95</v>
      </c>
      <c r="L61" s="4">
        <v>45.2</v>
      </c>
      <c r="M61" s="4">
        <v>41.09</v>
      </c>
      <c r="N61" s="5">
        <v>44899</v>
      </c>
      <c r="O61" s="4"/>
      <c r="P61" s="4" t="s">
        <v>20</v>
      </c>
    </row>
    <row r="62" spans="1:16" x14ac:dyDescent="0.25">
      <c r="A62" s="4" t="s">
        <v>17</v>
      </c>
      <c r="B62" s="5">
        <v>44867</v>
      </c>
      <c r="C62" s="4" t="str">
        <f>"1038"</f>
        <v>1038</v>
      </c>
      <c r="D62" s="4">
        <v>8357703687</v>
      </c>
      <c r="E62" s="5">
        <v>44886</v>
      </c>
      <c r="F62" s="4">
        <v>2333</v>
      </c>
      <c r="G62" s="4">
        <v>528</v>
      </c>
      <c r="H62" s="4" t="s">
        <v>27</v>
      </c>
      <c r="I62" s="4" t="s">
        <v>28</v>
      </c>
      <c r="J62" s="4" t="s">
        <v>29</v>
      </c>
      <c r="K62" s="4"/>
      <c r="L62" s="4">
        <v>276.32</v>
      </c>
      <c r="M62" s="4">
        <v>226.49</v>
      </c>
      <c r="N62" s="5">
        <v>44899</v>
      </c>
      <c r="O62" s="4"/>
      <c r="P62" s="4" t="s">
        <v>20</v>
      </c>
    </row>
    <row r="63" spans="1:16" x14ac:dyDescent="0.25">
      <c r="A63" s="4" t="s">
        <v>36</v>
      </c>
      <c r="B63" s="5">
        <v>44861</v>
      </c>
      <c r="C63" s="4" t="str">
        <f>"109"</f>
        <v>109</v>
      </c>
      <c r="D63" s="4">
        <v>8304671153</v>
      </c>
      <c r="E63" s="5">
        <v>44875</v>
      </c>
      <c r="F63" s="4">
        <v>2288</v>
      </c>
      <c r="G63" s="4">
        <v>7814</v>
      </c>
      <c r="H63" s="4" t="s">
        <v>96</v>
      </c>
      <c r="I63" s="4" t="s">
        <v>97</v>
      </c>
      <c r="J63" s="4" t="s">
        <v>98</v>
      </c>
      <c r="K63" s="4"/>
      <c r="L63" s="6">
        <v>-10490</v>
      </c>
      <c r="M63" s="6">
        <v>-8598.36</v>
      </c>
      <c r="N63" s="5">
        <v>44891</v>
      </c>
      <c r="O63" s="4"/>
      <c r="P63" s="4" t="s">
        <v>32</v>
      </c>
    </row>
    <row r="64" spans="1:16" x14ac:dyDescent="0.25">
      <c r="A64" s="4" t="s">
        <v>17</v>
      </c>
      <c r="B64" s="5">
        <v>44861</v>
      </c>
      <c r="C64" s="4" t="str">
        <f>"110"</f>
        <v>110</v>
      </c>
      <c r="D64" s="4">
        <v>8304673098</v>
      </c>
      <c r="E64" s="5">
        <v>44875</v>
      </c>
      <c r="F64" s="4">
        <v>2289</v>
      </c>
      <c r="G64" s="4">
        <v>7814</v>
      </c>
      <c r="H64" s="4" t="s">
        <v>96</v>
      </c>
      <c r="I64" s="4" t="s">
        <v>97</v>
      </c>
      <c r="J64" s="4" t="s">
        <v>98</v>
      </c>
      <c r="K64" s="4"/>
      <c r="L64" s="6">
        <v>10490</v>
      </c>
      <c r="M64" s="6">
        <v>8598.36</v>
      </c>
      <c r="N64" s="5">
        <v>44891</v>
      </c>
      <c r="O64" s="4"/>
      <c r="P64" s="4" t="s">
        <v>32</v>
      </c>
    </row>
    <row r="65" spans="1:16" x14ac:dyDescent="0.25">
      <c r="A65" s="4" t="s">
        <v>17</v>
      </c>
      <c r="B65" s="5">
        <v>44845</v>
      </c>
      <c r="C65" s="4" t="str">
        <f>"8V00441368"</f>
        <v>8V00441368</v>
      </c>
      <c r="D65" s="4">
        <v>8244182681</v>
      </c>
      <c r="E65" s="5">
        <v>44853</v>
      </c>
      <c r="F65" s="4">
        <v>2072</v>
      </c>
      <c r="G65" s="4">
        <v>3564</v>
      </c>
      <c r="H65" s="4" t="s">
        <v>40</v>
      </c>
      <c r="I65" s="4">
        <v>488410010</v>
      </c>
      <c r="J65" s="4" t="s">
        <v>41</v>
      </c>
      <c r="K65" s="4" t="s">
        <v>99</v>
      </c>
      <c r="L65" s="4">
        <v>841.8</v>
      </c>
      <c r="M65" s="4">
        <v>690</v>
      </c>
      <c r="N65" s="5">
        <v>44880</v>
      </c>
      <c r="O65" s="4"/>
      <c r="P65" s="4" t="s">
        <v>43</v>
      </c>
    </row>
    <row r="66" spans="1:16" x14ac:dyDescent="0.25">
      <c r="A66" s="4" t="s">
        <v>17</v>
      </c>
      <c r="B66" s="5">
        <v>44837</v>
      </c>
      <c r="C66" s="4" t="str">
        <f>"939"</f>
        <v>939</v>
      </c>
      <c r="D66" s="4">
        <v>8138249480</v>
      </c>
      <c r="E66" s="5">
        <v>44853</v>
      </c>
      <c r="F66" s="4">
        <v>2059</v>
      </c>
      <c r="G66" s="4">
        <v>528</v>
      </c>
      <c r="H66" s="4" t="s">
        <v>27</v>
      </c>
      <c r="I66" s="4" t="s">
        <v>28</v>
      </c>
      <c r="J66" s="4" t="s">
        <v>29</v>
      </c>
      <c r="K66" s="4"/>
      <c r="L66" s="4">
        <v>775.48</v>
      </c>
      <c r="M66" s="4">
        <v>635.64</v>
      </c>
      <c r="N66" s="5">
        <v>44867</v>
      </c>
      <c r="O66" s="4"/>
      <c r="P66" s="4" t="s">
        <v>20</v>
      </c>
    </row>
    <row r="67" spans="1:16" x14ac:dyDescent="0.25">
      <c r="A67" s="4" t="s">
        <v>17</v>
      </c>
      <c r="B67" s="5">
        <v>44833</v>
      </c>
      <c r="C67" s="4" t="str">
        <f>"000258"</f>
        <v>000258</v>
      </c>
      <c r="D67" s="4">
        <v>8163720194</v>
      </c>
      <c r="E67" s="5">
        <v>44858</v>
      </c>
      <c r="F67" s="4">
        <v>2234</v>
      </c>
      <c r="G67" s="4">
        <v>4839</v>
      </c>
      <c r="H67" s="4" t="s">
        <v>44</v>
      </c>
      <c r="I67" s="4" t="s">
        <v>45</v>
      </c>
      <c r="J67" s="4" t="s">
        <v>46</v>
      </c>
      <c r="K67" s="4"/>
      <c r="L67" s="6">
        <v>2030.08</v>
      </c>
      <c r="M67" s="6">
        <v>1713.13</v>
      </c>
      <c r="N67" s="5">
        <v>44871</v>
      </c>
      <c r="O67" s="4"/>
      <c r="P67" s="4" t="s">
        <v>20</v>
      </c>
    </row>
    <row r="68" spans="1:16" x14ac:dyDescent="0.25">
      <c r="A68" s="4" t="s">
        <v>17</v>
      </c>
      <c r="B68" s="5">
        <v>44826</v>
      </c>
      <c r="C68" s="4" t="str">
        <f>"6820220914000992"</f>
        <v>6820220914000992</v>
      </c>
      <c r="D68" s="4">
        <v>8097562635</v>
      </c>
      <c r="E68" s="5">
        <v>44831</v>
      </c>
      <c r="F68" s="4">
        <v>1947</v>
      </c>
      <c r="G68" s="4">
        <v>3564</v>
      </c>
      <c r="H68" s="4" t="s">
        <v>40</v>
      </c>
      <c r="I68" s="4">
        <v>488410010</v>
      </c>
      <c r="J68" s="4" t="s">
        <v>41</v>
      </c>
      <c r="K68" s="4" t="s">
        <v>100</v>
      </c>
      <c r="L68" s="4">
        <v>826.77</v>
      </c>
      <c r="M68" s="4">
        <v>677.68</v>
      </c>
      <c r="N68" s="5">
        <v>44860</v>
      </c>
      <c r="O68" s="4"/>
      <c r="P68" s="4" t="s">
        <v>43</v>
      </c>
    </row>
    <row r="69" spans="1:16" x14ac:dyDescent="0.25">
      <c r="A69" s="4" t="s">
        <v>17</v>
      </c>
      <c r="B69" s="5">
        <v>44821</v>
      </c>
      <c r="C69" s="4" t="str">
        <f>"26PA 22"</f>
        <v>26PA 22</v>
      </c>
      <c r="D69" s="4">
        <v>8050087875</v>
      </c>
      <c r="E69" s="5">
        <v>44826</v>
      </c>
      <c r="F69" s="4">
        <v>1916</v>
      </c>
      <c r="G69" s="4">
        <v>4912</v>
      </c>
      <c r="H69" s="4" t="s">
        <v>101</v>
      </c>
      <c r="I69" s="4"/>
      <c r="J69" s="4" t="s">
        <v>102</v>
      </c>
      <c r="K69" s="4"/>
      <c r="L69" s="4">
        <v>546.22</v>
      </c>
      <c r="M69" s="4">
        <v>479.43</v>
      </c>
      <c r="N69" s="5">
        <v>44851</v>
      </c>
      <c r="O69" s="4"/>
      <c r="P69" s="4" t="s">
        <v>32</v>
      </c>
    </row>
    <row r="70" spans="1:16" x14ac:dyDescent="0.25">
      <c r="A70" s="4" t="s">
        <v>17</v>
      </c>
      <c r="B70" s="5">
        <v>44820</v>
      </c>
      <c r="C70" s="4" t="str">
        <f>"2/104"</f>
        <v>2/104</v>
      </c>
      <c r="D70" s="4">
        <v>8047900908</v>
      </c>
      <c r="E70" s="5">
        <v>44838</v>
      </c>
      <c r="F70" s="4">
        <v>1971</v>
      </c>
      <c r="G70" s="4">
        <v>4919</v>
      </c>
      <c r="H70" s="4" t="s">
        <v>103</v>
      </c>
      <c r="I70" s="4">
        <v>4713650820</v>
      </c>
      <c r="J70" s="4" t="s">
        <v>104</v>
      </c>
      <c r="K70" s="4" t="s">
        <v>105</v>
      </c>
      <c r="L70" s="6">
        <v>4761.8999999999996</v>
      </c>
      <c r="M70" s="6">
        <v>3903.2</v>
      </c>
      <c r="N70" s="5">
        <v>44850</v>
      </c>
      <c r="O70" s="4"/>
      <c r="P70" s="4" t="s">
        <v>20</v>
      </c>
    </row>
    <row r="71" spans="1:16" x14ac:dyDescent="0.25">
      <c r="A71" s="4" t="s">
        <v>17</v>
      </c>
      <c r="B71" s="5">
        <v>44820</v>
      </c>
      <c r="C71" s="4" t="str">
        <f>"2/105"</f>
        <v>2/105</v>
      </c>
      <c r="D71" s="4">
        <v>8048003704</v>
      </c>
      <c r="E71" s="5">
        <v>44838</v>
      </c>
      <c r="F71" s="4">
        <v>1972</v>
      </c>
      <c r="G71" s="4">
        <v>4919</v>
      </c>
      <c r="H71" s="4" t="s">
        <v>103</v>
      </c>
      <c r="I71" s="4">
        <v>4713650820</v>
      </c>
      <c r="J71" s="4" t="s">
        <v>104</v>
      </c>
      <c r="K71" s="4" t="s">
        <v>105</v>
      </c>
      <c r="L71" s="4">
        <v>815.94</v>
      </c>
      <c r="M71" s="4">
        <v>668.8</v>
      </c>
      <c r="N71" s="5">
        <v>44850</v>
      </c>
      <c r="O71" s="4"/>
      <c r="P71" s="4" t="s">
        <v>20</v>
      </c>
    </row>
    <row r="72" spans="1:16" x14ac:dyDescent="0.25">
      <c r="A72" s="4" t="s">
        <v>17</v>
      </c>
      <c r="B72" s="5">
        <v>44820</v>
      </c>
      <c r="C72" s="4" t="str">
        <f>"96"</f>
        <v>96</v>
      </c>
      <c r="D72" s="4">
        <v>8044887375</v>
      </c>
      <c r="E72" s="5">
        <v>44824</v>
      </c>
      <c r="F72" s="4">
        <v>1903</v>
      </c>
      <c r="G72" s="4">
        <v>7814</v>
      </c>
      <c r="H72" s="4" t="s">
        <v>96</v>
      </c>
      <c r="I72" s="4" t="s">
        <v>97</v>
      </c>
      <c r="J72" s="4" t="s">
        <v>98</v>
      </c>
      <c r="K72" s="4" t="s">
        <v>106</v>
      </c>
      <c r="L72" s="6">
        <v>10490</v>
      </c>
      <c r="M72" s="6">
        <v>8598.36</v>
      </c>
      <c r="N72" s="5">
        <v>44850</v>
      </c>
      <c r="O72" s="4"/>
      <c r="P72" s="4" t="s">
        <v>32</v>
      </c>
    </row>
    <row r="73" spans="1:16" x14ac:dyDescent="0.25">
      <c r="A73" s="4" t="s">
        <v>17</v>
      </c>
      <c r="B73" s="5">
        <v>44810</v>
      </c>
      <c r="C73" s="4" t="str">
        <f>"1020020220000004400"</f>
        <v>1020020220000004400</v>
      </c>
      <c r="D73" s="4">
        <v>7979002082</v>
      </c>
      <c r="E73" s="5">
        <v>44830</v>
      </c>
      <c r="F73" s="4">
        <v>1933</v>
      </c>
      <c r="G73" s="4">
        <v>66</v>
      </c>
      <c r="H73" s="4" t="s">
        <v>107</v>
      </c>
      <c r="I73" s="4">
        <v>247990815</v>
      </c>
      <c r="J73" s="4" t="s">
        <v>108</v>
      </c>
      <c r="K73" s="4" t="s">
        <v>109</v>
      </c>
      <c r="L73" s="6">
        <v>1011.62</v>
      </c>
      <c r="M73" s="4">
        <v>919.65</v>
      </c>
      <c r="N73" s="5">
        <v>44842</v>
      </c>
      <c r="O73" s="4"/>
      <c r="P73" s="4" t="s">
        <v>20</v>
      </c>
    </row>
    <row r="74" spans="1:16" x14ac:dyDescent="0.25">
      <c r="A74" s="4" t="s">
        <v>17</v>
      </c>
      <c r="B74" s="5">
        <v>44809</v>
      </c>
      <c r="C74" s="4" t="str">
        <f>"VH22002922"</f>
        <v>VH22002922</v>
      </c>
      <c r="D74" s="4">
        <v>7965090271</v>
      </c>
      <c r="E74" s="5">
        <v>44816</v>
      </c>
      <c r="F74" s="4">
        <v>1880</v>
      </c>
      <c r="G74" s="4">
        <v>2320</v>
      </c>
      <c r="H74" s="4" t="s">
        <v>110</v>
      </c>
      <c r="I74" s="4">
        <v>5892970152</v>
      </c>
      <c r="J74" s="4" t="s">
        <v>111</v>
      </c>
      <c r="K74" s="4" t="s">
        <v>112</v>
      </c>
      <c r="L74" s="4">
        <v>8.59</v>
      </c>
      <c r="M74" s="4">
        <v>8.26</v>
      </c>
      <c r="N74" s="5">
        <v>44840</v>
      </c>
      <c r="O74" s="4"/>
      <c r="P74" s="4" t="s">
        <v>43</v>
      </c>
    </row>
    <row r="75" spans="1:16" x14ac:dyDescent="0.25">
      <c r="A75" s="4" t="s">
        <v>36</v>
      </c>
      <c r="B75" s="5">
        <v>44809</v>
      </c>
      <c r="C75" s="4" t="str">
        <f>"VH22002923"</f>
        <v>VH22002923</v>
      </c>
      <c r="D75" s="4">
        <v>7965088358</v>
      </c>
      <c r="E75" s="5">
        <v>44816</v>
      </c>
      <c r="F75" s="4">
        <v>1879</v>
      </c>
      <c r="G75" s="4">
        <v>2320</v>
      </c>
      <c r="H75" s="4" t="s">
        <v>110</v>
      </c>
      <c r="I75" s="4">
        <v>5892970152</v>
      </c>
      <c r="J75" s="4" t="s">
        <v>111</v>
      </c>
      <c r="K75" s="4" t="s">
        <v>113</v>
      </c>
      <c r="L75" s="4">
        <v>-8.59</v>
      </c>
      <c r="M75" s="4">
        <v>-8.26</v>
      </c>
      <c r="N75" s="5">
        <v>44840</v>
      </c>
      <c r="O75" s="4"/>
      <c r="P75" s="4" t="s">
        <v>43</v>
      </c>
    </row>
    <row r="76" spans="1:16" x14ac:dyDescent="0.25">
      <c r="A76" s="4" t="s">
        <v>17</v>
      </c>
      <c r="B76" s="5">
        <v>44806</v>
      </c>
      <c r="C76" s="4" t="str">
        <f>"852"</f>
        <v>852</v>
      </c>
      <c r="D76" s="4">
        <v>7992554309</v>
      </c>
      <c r="E76" s="5">
        <v>44830</v>
      </c>
      <c r="F76" s="4">
        <v>1941</v>
      </c>
      <c r="G76" s="4">
        <v>528</v>
      </c>
      <c r="H76" s="4" t="s">
        <v>27</v>
      </c>
      <c r="I76" s="4" t="s">
        <v>28</v>
      </c>
      <c r="J76" s="4" t="s">
        <v>29</v>
      </c>
      <c r="K76" s="4"/>
      <c r="L76" s="6">
        <v>1064.08</v>
      </c>
      <c r="M76" s="4">
        <v>872.2</v>
      </c>
      <c r="N76" s="5">
        <v>44843</v>
      </c>
      <c r="O76" s="4"/>
      <c r="P76" s="4" t="s">
        <v>20</v>
      </c>
    </row>
    <row r="77" spans="1:16" x14ac:dyDescent="0.25">
      <c r="A77" s="4" t="s">
        <v>17</v>
      </c>
      <c r="B77" s="5">
        <v>44804</v>
      </c>
      <c r="C77" s="4" t="str">
        <f>"4720/00"</f>
        <v>4720/00</v>
      </c>
      <c r="D77" s="4">
        <v>7975263154</v>
      </c>
      <c r="E77" s="5">
        <v>44830</v>
      </c>
      <c r="F77" s="4">
        <v>1932</v>
      </c>
      <c r="G77" s="4">
        <v>4604</v>
      </c>
      <c r="H77" s="4" t="s">
        <v>114</v>
      </c>
      <c r="I77" s="4"/>
      <c r="J77" s="4" t="s">
        <v>115</v>
      </c>
      <c r="K77" s="4"/>
      <c r="L77" s="6">
        <v>1213.56</v>
      </c>
      <c r="M77" s="4">
        <v>994.72</v>
      </c>
      <c r="N77" s="5">
        <v>44841</v>
      </c>
      <c r="O77" s="4"/>
      <c r="P77" s="4" t="s">
        <v>20</v>
      </c>
    </row>
    <row r="78" spans="1:16" x14ac:dyDescent="0.25">
      <c r="A78" s="4" t="s">
        <v>17</v>
      </c>
      <c r="B78" s="5">
        <v>44784</v>
      </c>
      <c r="C78" s="4" t="str">
        <f>"8V00322004"</f>
        <v>8V00322004</v>
      </c>
      <c r="D78" s="4">
        <v>7862414262</v>
      </c>
      <c r="E78" s="5">
        <v>44791</v>
      </c>
      <c r="F78" s="4">
        <v>1676</v>
      </c>
      <c r="G78" s="4">
        <v>3564</v>
      </c>
      <c r="H78" s="4" t="s">
        <v>40</v>
      </c>
      <c r="I78" s="4">
        <v>488410010</v>
      </c>
      <c r="J78" s="4" t="s">
        <v>41</v>
      </c>
      <c r="K78" s="4" t="s">
        <v>116</v>
      </c>
      <c r="L78" s="4">
        <v>841.8</v>
      </c>
      <c r="M78" s="4">
        <v>690</v>
      </c>
      <c r="N78" s="5">
        <v>44819</v>
      </c>
      <c r="O78" s="4"/>
      <c r="P78" s="4" t="s">
        <v>43</v>
      </c>
    </row>
    <row r="79" spans="1:16" x14ac:dyDescent="0.25">
      <c r="A79" s="4" t="s">
        <v>17</v>
      </c>
      <c r="B79" s="5">
        <v>44778</v>
      </c>
      <c r="C79" s="4" t="str">
        <f>"555"</f>
        <v>555</v>
      </c>
      <c r="D79" s="4">
        <v>7838658180</v>
      </c>
      <c r="E79" s="5">
        <v>44803</v>
      </c>
      <c r="F79" s="4">
        <v>1823</v>
      </c>
      <c r="G79" s="4">
        <v>528</v>
      </c>
      <c r="H79" s="4" t="s">
        <v>27</v>
      </c>
      <c r="I79" s="4" t="s">
        <v>28</v>
      </c>
      <c r="J79" s="4" t="s">
        <v>29</v>
      </c>
      <c r="K79" s="4"/>
      <c r="L79" s="4">
        <v>883.73</v>
      </c>
      <c r="M79" s="4">
        <v>724.37</v>
      </c>
      <c r="N79" s="5">
        <v>44816</v>
      </c>
      <c r="O79" s="4"/>
      <c r="P79" s="4" t="s">
        <v>20</v>
      </c>
    </row>
    <row r="80" spans="1:16" x14ac:dyDescent="0.25">
      <c r="A80" s="4" t="s">
        <v>17</v>
      </c>
      <c r="B80" s="5">
        <v>44768</v>
      </c>
      <c r="C80" s="4" t="str">
        <f>"1020020220000002200"</f>
        <v>1020020220000002200</v>
      </c>
      <c r="D80" s="4">
        <v>7728722900</v>
      </c>
      <c r="E80" s="5">
        <v>44791</v>
      </c>
      <c r="F80" s="4">
        <v>1657</v>
      </c>
      <c r="G80" s="4">
        <v>66</v>
      </c>
      <c r="H80" s="4" t="s">
        <v>107</v>
      </c>
      <c r="I80" s="4">
        <v>247990815</v>
      </c>
      <c r="J80" s="4" t="s">
        <v>108</v>
      </c>
      <c r="K80" s="4" t="s">
        <v>109</v>
      </c>
      <c r="L80" s="4">
        <v>15.26</v>
      </c>
      <c r="M80" s="4">
        <v>13.87</v>
      </c>
      <c r="N80" s="5">
        <v>44799</v>
      </c>
      <c r="O80" s="4"/>
      <c r="P80" s="4" t="s">
        <v>20</v>
      </c>
    </row>
    <row r="81" spans="1:16" x14ac:dyDescent="0.25">
      <c r="A81" s="4" t="s">
        <v>17</v>
      </c>
      <c r="B81" s="5">
        <v>44768</v>
      </c>
      <c r="C81" s="4" t="str">
        <f>"1020020220000002300"</f>
        <v>1020020220000002300</v>
      </c>
      <c r="D81" s="4">
        <v>7728719506</v>
      </c>
      <c r="E81" s="5">
        <v>44791</v>
      </c>
      <c r="F81" s="4">
        <v>1662</v>
      </c>
      <c r="G81" s="4">
        <v>66</v>
      </c>
      <c r="H81" s="4" t="s">
        <v>107</v>
      </c>
      <c r="I81" s="4">
        <v>247990815</v>
      </c>
      <c r="J81" s="4" t="s">
        <v>108</v>
      </c>
      <c r="K81" s="4" t="s">
        <v>109</v>
      </c>
      <c r="L81" s="6">
        <v>1318.26</v>
      </c>
      <c r="M81" s="6">
        <v>1198.42</v>
      </c>
      <c r="N81" s="5">
        <v>44799</v>
      </c>
      <c r="O81" s="4"/>
      <c r="P81" s="4" t="s">
        <v>20</v>
      </c>
    </row>
    <row r="82" spans="1:16" x14ac:dyDescent="0.25">
      <c r="A82" s="4" t="s">
        <v>17</v>
      </c>
      <c r="B82" s="5">
        <v>44768</v>
      </c>
      <c r="C82" s="4" t="str">
        <f>"1020020220000002600"</f>
        <v>1020020220000002600</v>
      </c>
      <c r="D82" s="4">
        <v>7728722775</v>
      </c>
      <c r="E82" s="5">
        <v>44791</v>
      </c>
      <c r="F82" s="4">
        <v>1664</v>
      </c>
      <c r="G82" s="4">
        <v>66</v>
      </c>
      <c r="H82" s="4" t="s">
        <v>107</v>
      </c>
      <c r="I82" s="4">
        <v>247990815</v>
      </c>
      <c r="J82" s="4" t="s">
        <v>108</v>
      </c>
      <c r="K82" s="4" t="s">
        <v>109</v>
      </c>
      <c r="L82" s="4">
        <v>67.27</v>
      </c>
      <c r="M82" s="4">
        <v>61.15</v>
      </c>
      <c r="N82" s="5">
        <v>44799</v>
      </c>
      <c r="O82" s="4"/>
      <c r="P82" s="4" t="s">
        <v>20</v>
      </c>
    </row>
    <row r="83" spans="1:16" x14ac:dyDescent="0.25">
      <c r="A83" s="4" t="s">
        <v>36</v>
      </c>
      <c r="B83" s="5">
        <v>44768</v>
      </c>
      <c r="C83" s="4" t="str">
        <f>"1020020220000002700"</f>
        <v>1020020220000002700</v>
      </c>
      <c r="D83" s="4">
        <v>7728723004</v>
      </c>
      <c r="E83" s="5">
        <v>44791</v>
      </c>
      <c r="F83" s="4">
        <v>1665</v>
      </c>
      <c r="G83" s="4">
        <v>66</v>
      </c>
      <c r="H83" s="4" t="s">
        <v>107</v>
      </c>
      <c r="I83" s="4">
        <v>247990815</v>
      </c>
      <c r="J83" s="4" t="s">
        <v>108</v>
      </c>
      <c r="K83" s="4" t="s">
        <v>109</v>
      </c>
      <c r="L83" s="6">
        <v>-10899.9</v>
      </c>
      <c r="M83" s="6">
        <v>-9909</v>
      </c>
      <c r="N83" s="5">
        <v>44799</v>
      </c>
      <c r="O83" s="4"/>
      <c r="P83" s="4" t="s">
        <v>20</v>
      </c>
    </row>
    <row r="84" spans="1:16" x14ac:dyDescent="0.25">
      <c r="A84" s="4" t="s">
        <v>17</v>
      </c>
      <c r="B84" s="5">
        <v>44768</v>
      </c>
      <c r="C84" s="4" t="str">
        <f>"1020020220000002800"</f>
        <v>1020020220000002800</v>
      </c>
      <c r="D84" s="4">
        <v>7728719415</v>
      </c>
      <c r="E84" s="5">
        <v>44791</v>
      </c>
      <c r="F84" s="4">
        <v>1659</v>
      </c>
      <c r="G84" s="4">
        <v>66</v>
      </c>
      <c r="H84" s="4" t="s">
        <v>107</v>
      </c>
      <c r="I84" s="4">
        <v>247990815</v>
      </c>
      <c r="J84" s="4" t="s">
        <v>108</v>
      </c>
      <c r="K84" s="4" t="s">
        <v>109</v>
      </c>
      <c r="L84" s="6">
        <v>3239.46</v>
      </c>
      <c r="M84" s="6">
        <v>2944.96</v>
      </c>
      <c r="N84" s="5">
        <v>44799</v>
      </c>
      <c r="O84" s="4"/>
      <c r="P84" s="4" t="s">
        <v>20</v>
      </c>
    </row>
    <row r="85" spans="1:16" x14ac:dyDescent="0.25">
      <c r="A85" s="4" t="s">
        <v>17</v>
      </c>
      <c r="B85" s="5">
        <v>44768</v>
      </c>
      <c r="C85" s="4" t="str">
        <f>"1020020220000002900"</f>
        <v>1020020220000002900</v>
      </c>
      <c r="D85" s="4">
        <v>7728719375</v>
      </c>
      <c r="E85" s="5">
        <v>44791</v>
      </c>
      <c r="F85" s="4">
        <v>1660</v>
      </c>
      <c r="G85" s="4">
        <v>66</v>
      </c>
      <c r="H85" s="4" t="s">
        <v>107</v>
      </c>
      <c r="I85" s="4">
        <v>247990815</v>
      </c>
      <c r="J85" s="4" t="s">
        <v>108</v>
      </c>
      <c r="K85" s="4" t="s">
        <v>109</v>
      </c>
      <c r="L85" s="6">
        <v>3328.01</v>
      </c>
      <c r="M85" s="6">
        <v>3025.46</v>
      </c>
      <c r="N85" s="5">
        <v>44799</v>
      </c>
      <c r="O85" s="4"/>
      <c r="P85" s="4" t="s">
        <v>20</v>
      </c>
    </row>
    <row r="86" spans="1:16" x14ac:dyDescent="0.25">
      <c r="A86" s="4" t="s">
        <v>17</v>
      </c>
      <c r="B86" s="5">
        <v>44767</v>
      </c>
      <c r="C86" s="4" t="str">
        <f>"554"</f>
        <v>554</v>
      </c>
      <c r="D86" s="4">
        <v>7752604180</v>
      </c>
      <c r="E86" s="5">
        <v>44789</v>
      </c>
      <c r="F86" s="4">
        <v>1641</v>
      </c>
      <c r="G86" s="4">
        <v>528</v>
      </c>
      <c r="H86" s="4" t="s">
        <v>27</v>
      </c>
      <c r="I86" s="4" t="s">
        <v>28</v>
      </c>
      <c r="J86" s="4" t="s">
        <v>29</v>
      </c>
      <c r="K86" s="4"/>
      <c r="L86" s="4">
        <v>942.74</v>
      </c>
      <c r="M86" s="4">
        <v>772.74</v>
      </c>
      <c r="N86" s="5">
        <v>44802</v>
      </c>
      <c r="O86" s="4"/>
      <c r="P86" s="4" t="s">
        <v>20</v>
      </c>
    </row>
    <row r="87" spans="1:16" x14ac:dyDescent="0.25">
      <c r="A87" s="4" t="s">
        <v>17</v>
      </c>
      <c r="B87" s="5">
        <v>44755</v>
      </c>
      <c r="C87" s="4" t="str">
        <f>"1/2022/111"</f>
        <v>1/2022/111</v>
      </c>
      <c r="D87" s="4">
        <v>8519759427</v>
      </c>
      <c r="E87" s="5">
        <v>44910</v>
      </c>
      <c r="F87" s="4">
        <v>2578</v>
      </c>
      <c r="G87" s="4">
        <v>4012</v>
      </c>
      <c r="H87" s="4" t="s">
        <v>117</v>
      </c>
      <c r="I87" s="4">
        <v>2363280815</v>
      </c>
      <c r="J87" s="4" t="s">
        <v>118</v>
      </c>
      <c r="K87" s="4"/>
      <c r="L87" s="4">
        <v>180.34</v>
      </c>
      <c r="M87" s="4">
        <v>180.34</v>
      </c>
      <c r="N87" s="5">
        <v>44924</v>
      </c>
      <c r="O87" s="4"/>
      <c r="P87" s="4" t="s">
        <v>20</v>
      </c>
    </row>
    <row r="88" spans="1:16" x14ac:dyDescent="0.25">
      <c r="A88" s="4" t="s">
        <v>17</v>
      </c>
      <c r="B88" s="5">
        <v>44753</v>
      </c>
      <c r="C88" s="4" t="str">
        <f>"1/E"</f>
        <v>1/E</v>
      </c>
      <c r="D88" s="4">
        <v>7625064080</v>
      </c>
      <c r="E88" s="5">
        <v>44767</v>
      </c>
      <c r="F88" s="4">
        <v>1509</v>
      </c>
      <c r="G88" s="4">
        <v>1651</v>
      </c>
      <c r="H88" s="4" t="s">
        <v>119</v>
      </c>
      <c r="I88" s="4" t="s">
        <v>120</v>
      </c>
      <c r="J88" s="4" t="s">
        <v>121</v>
      </c>
      <c r="K88" s="4"/>
      <c r="L88" s="6">
        <v>11892.91</v>
      </c>
      <c r="M88" s="6">
        <v>11892.91</v>
      </c>
      <c r="N88" s="5">
        <v>44784</v>
      </c>
      <c r="O88" s="4"/>
      <c r="P88" s="4" t="s">
        <v>91</v>
      </c>
    </row>
    <row r="89" spans="1:16" x14ac:dyDescent="0.25">
      <c r="A89" s="4" t="s">
        <v>17</v>
      </c>
      <c r="B89" s="5">
        <v>44749</v>
      </c>
      <c r="C89" s="4" t="str">
        <f>"473/E"</f>
        <v>473/E</v>
      </c>
      <c r="D89" s="4">
        <v>7597448990</v>
      </c>
      <c r="E89" s="5">
        <v>44767</v>
      </c>
      <c r="F89" s="4">
        <v>1501</v>
      </c>
      <c r="G89" s="4">
        <v>2922</v>
      </c>
      <c r="H89" s="4" t="s">
        <v>122</v>
      </c>
      <c r="I89" s="4">
        <v>4416610824</v>
      </c>
      <c r="J89" s="4" t="s">
        <v>123</v>
      </c>
      <c r="K89" s="4"/>
      <c r="L89" s="6">
        <v>1988.62</v>
      </c>
      <c r="M89" s="6">
        <v>1893.92</v>
      </c>
      <c r="N89" s="5">
        <v>44780</v>
      </c>
      <c r="O89" s="4"/>
      <c r="P89" s="4" t="s">
        <v>32</v>
      </c>
    </row>
    <row r="90" spans="1:16" x14ac:dyDescent="0.25">
      <c r="A90" s="4" t="s">
        <v>17</v>
      </c>
      <c r="B90" s="5">
        <v>44734</v>
      </c>
      <c r="C90" s="4" t="str">
        <f>"408/E"</f>
        <v>408/E</v>
      </c>
      <c r="D90" s="4">
        <v>7501230178</v>
      </c>
      <c r="E90" s="5">
        <v>44748</v>
      </c>
      <c r="F90" s="4">
        <v>1372</v>
      </c>
      <c r="G90" s="4">
        <v>2922</v>
      </c>
      <c r="H90" s="4" t="s">
        <v>122</v>
      </c>
      <c r="I90" s="4">
        <v>4416610824</v>
      </c>
      <c r="J90" s="4" t="s">
        <v>123</v>
      </c>
      <c r="K90" s="4"/>
      <c r="L90" s="6">
        <v>2461.1999999999998</v>
      </c>
      <c r="M90" s="6">
        <v>2344</v>
      </c>
      <c r="N90" s="5">
        <v>44764</v>
      </c>
      <c r="O90" s="4"/>
      <c r="P90" s="4" t="s">
        <v>32</v>
      </c>
    </row>
    <row r="91" spans="1:16" x14ac:dyDescent="0.25">
      <c r="A91" s="4" t="s">
        <v>17</v>
      </c>
      <c r="B91" s="5">
        <v>44721</v>
      </c>
      <c r="C91" s="4" t="str">
        <f>"8V00199245"</f>
        <v>8V00199245</v>
      </c>
      <c r="D91" s="4">
        <v>7440420932</v>
      </c>
      <c r="E91" s="5">
        <v>44732</v>
      </c>
      <c r="F91" s="4">
        <v>1191</v>
      </c>
      <c r="G91" s="4">
        <v>3564</v>
      </c>
      <c r="H91" s="4" t="s">
        <v>40</v>
      </c>
      <c r="I91" s="4">
        <v>488410010</v>
      </c>
      <c r="J91" s="4" t="s">
        <v>41</v>
      </c>
      <c r="K91" s="4" t="s">
        <v>124</v>
      </c>
      <c r="L91" s="4">
        <v>841.8</v>
      </c>
      <c r="M91" s="4">
        <v>690</v>
      </c>
      <c r="N91" s="5">
        <v>44755</v>
      </c>
      <c r="O91" s="4"/>
      <c r="P91" s="4" t="s">
        <v>43</v>
      </c>
    </row>
    <row r="92" spans="1:16" x14ac:dyDescent="0.25">
      <c r="A92" s="4" t="s">
        <v>17</v>
      </c>
      <c r="B92" s="5">
        <v>44716</v>
      </c>
      <c r="C92" s="4" t="str">
        <f>"5/PNL/FPA"</f>
        <v>5/PNL/FPA</v>
      </c>
      <c r="D92" s="4">
        <v>7387358803</v>
      </c>
      <c r="E92" s="5">
        <v>44735</v>
      </c>
      <c r="F92" s="4">
        <v>1326</v>
      </c>
      <c r="G92" s="4">
        <v>466</v>
      </c>
      <c r="H92" s="4" t="s">
        <v>125</v>
      </c>
      <c r="I92" s="4">
        <v>3620860829</v>
      </c>
      <c r="J92" s="4" t="s">
        <v>126</v>
      </c>
      <c r="K92" s="4" t="s">
        <v>127</v>
      </c>
      <c r="L92" s="6">
        <v>4582.82</v>
      </c>
      <c r="M92" s="6">
        <v>3756.41</v>
      </c>
      <c r="N92" s="5">
        <v>44748</v>
      </c>
      <c r="O92" s="4"/>
      <c r="P92" s="4" t="s">
        <v>20</v>
      </c>
    </row>
    <row r="93" spans="1:16" x14ac:dyDescent="0.25">
      <c r="A93" s="4" t="s">
        <v>17</v>
      </c>
      <c r="B93" s="5">
        <v>44715</v>
      </c>
      <c r="C93" s="4" t="str">
        <f>"4/PNL/FPA"</f>
        <v>4/PNL/FPA</v>
      </c>
      <c r="D93" s="4">
        <v>7383485260</v>
      </c>
      <c r="E93" s="5">
        <v>44735</v>
      </c>
      <c r="F93" s="4">
        <v>1325</v>
      </c>
      <c r="G93" s="4">
        <v>466</v>
      </c>
      <c r="H93" s="4" t="s">
        <v>125</v>
      </c>
      <c r="I93" s="4">
        <v>3620860829</v>
      </c>
      <c r="J93" s="4" t="s">
        <v>126</v>
      </c>
      <c r="K93" s="4" t="s">
        <v>127</v>
      </c>
      <c r="L93" s="4">
        <v>122</v>
      </c>
      <c r="M93" s="4">
        <v>100</v>
      </c>
      <c r="N93" s="5">
        <v>44746</v>
      </c>
      <c r="O93" s="4"/>
      <c r="P93" s="4" t="s">
        <v>20</v>
      </c>
    </row>
    <row r="94" spans="1:16" x14ac:dyDescent="0.25">
      <c r="A94" s="4" t="s">
        <v>17</v>
      </c>
      <c r="B94" s="5">
        <v>44700</v>
      </c>
      <c r="C94" s="4" t="str">
        <f>"12"</f>
        <v>12</v>
      </c>
      <c r="D94" s="4">
        <v>7321140710</v>
      </c>
      <c r="E94" s="5">
        <v>44722</v>
      </c>
      <c r="F94" s="4">
        <v>1142</v>
      </c>
      <c r="G94" s="4">
        <v>7593</v>
      </c>
      <c r="H94" s="4" t="s">
        <v>128</v>
      </c>
      <c r="I94" s="4">
        <v>2507650816</v>
      </c>
      <c r="J94" s="4" t="s">
        <v>129</v>
      </c>
      <c r="K94" s="4"/>
      <c r="L94" s="6">
        <v>28270</v>
      </c>
      <c r="M94" s="6">
        <v>25700</v>
      </c>
      <c r="N94" s="5">
        <v>44735</v>
      </c>
      <c r="O94" s="4"/>
      <c r="P94" s="4" t="s">
        <v>20</v>
      </c>
    </row>
    <row r="95" spans="1:16" x14ac:dyDescent="0.25">
      <c r="A95" s="4" t="s">
        <v>17</v>
      </c>
      <c r="B95" s="5">
        <v>44693</v>
      </c>
      <c r="C95" s="4" t="str">
        <f>"314/E"</f>
        <v>314/E</v>
      </c>
      <c r="D95" s="4">
        <v>7247274893</v>
      </c>
      <c r="E95" s="5">
        <v>44697</v>
      </c>
      <c r="F95" s="4">
        <v>1057</v>
      </c>
      <c r="G95" s="4">
        <v>2922</v>
      </c>
      <c r="H95" s="4" t="s">
        <v>122</v>
      </c>
      <c r="I95" s="4">
        <v>4416610824</v>
      </c>
      <c r="J95" s="4" t="s">
        <v>123</v>
      </c>
      <c r="K95" s="4"/>
      <c r="L95" s="6">
        <v>2069.9299999999998</v>
      </c>
      <c r="M95" s="6">
        <v>1971.36</v>
      </c>
      <c r="N95" s="5">
        <v>44724</v>
      </c>
      <c r="O95" s="4"/>
      <c r="P95" s="4" t="s">
        <v>32</v>
      </c>
    </row>
    <row r="96" spans="1:16" x14ac:dyDescent="0.25">
      <c r="A96" s="4" t="s">
        <v>17</v>
      </c>
      <c r="B96" s="5">
        <v>44685</v>
      </c>
      <c r="C96" s="4" t="str">
        <f>"1/2022/96"</f>
        <v>1/2022/96</v>
      </c>
      <c r="D96" s="4">
        <v>7687565544</v>
      </c>
      <c r="E96" s="5">
        <v>44767</v>
      </c>
      <c r="F96" s="4">
        <v>1511</v>
      </c>
      <c r="G96" s="4">
        <v>4012</v>
      </c>
      <c r="H96" s="4" t="s">
        <v>117</v>
      </c>
      <c r="I96" s="4">
        <v>2363280815</v>
      </c>
      <c r="J96" s="4" t="s">
        <v>118</v>
      </c>
      <c r="K96" s="4" t="s">
        <v>130</v>
      </c>
      <c r="L96" s="6">
        <v>1061.3399999999999</v>
      </c>
      <c r="M96" s="6">
        <v>1061.3399999999999</v>
      </c>
      <c r="N96" s="5">
        <v>44792</v>
      </c>
      <c r="O96" s="4"/>
      <c r="P96" s="4" t="s">
        <v>91</v>
      </c>
    </row>
    <row r="97" spans="1:16" x14ac:dyDescent="0.25">
      <c r="A97" s="4" t="s">
        <v>17</v>
      </c>
      <c r="B97" s="5">
        <v>44679</v>
      </c>
      <c r="C97" s="4" t="str">
        <f>"6820220414002584"</f>
        <v>6820220414002584</v>
      </c>
      <c r="D97" s="4">
        <v>7165446776</v>
      </c>
      <c r="E97" s="5">
        <v>44687</v>
      </c>
      <c r="F97" s="4">
        <v>969</v>
      </c>
      <c r="G97" s="4">
        <v>3564</v>
      </c>
      <c r="H97" s="4" t="s">
        <v>40</v>
      </c>
      <c r="I97" s="4">
        <v>488410010</v>
      </c>
      <c r="J97" s="4" t="s">
        <v>41</v>
      </c>
      <c r="K97" s="4" t="s">
        <v>131</v>
      </c>
      <c r="L97" s="4">
        <v>841.8</v>
      </c>
      <c r="M97" s="4">
        <v>690</v>
      </c>
      <c r="N97" s="5">
        <v>44712</v>
      </c>
      <c r="O97" s="4"/>
      <c r="P97" s="4" t="s">
        <v>43</v>
      </c>
    </row>
    <row r="98" spans="1:16" x14ac:dyDescent="0.25">
      <c r="A98" s="4" t="s">
        <v>17</v>
      </c>
      <c r="B98" s="5">
        <v>44679</v>
      </c>
      <c r="C98" s="4" t="str">
        <f>"6820220414002597"</f>
        <v>6820220414002597</v>
      </c>
      <c r="D98" s="4">
        <v>7165446650</v>
      </c>
      <c r="E98" s="5">
        <v>44687</v>
      </c>
      <c r="F98" s="4">
        <v>916</v>
      </c>
      <c r="G98" s="4">
        <v>3564</v>
      </c>
      <c r="H98" s="4" t="s">
        <v>40</v>
      </c>
      <c r="I98" s="4">
        <v>488410010</v>
      </c>
      <c r="J98" s="4" t="s">
        <v>41</v>
      </c>
      <c r="K98" s="4" t="s">
        <v>132</v>
      </c>
      <c r="L98" s="4">
        <v>841.8</v>
      </c>
      <c r="M98" s="4">
        <v>690</v>
      </c>
      <c r="N98" s="5">
        <v>44712</v>
      </c>
      <c r="O98" s="4"/>
      <c r="P98" s="4" t="s">
        <v>43</v>
      </c>
    </row>
    <row r="99" spans="1:16" x14ac:dyDescent="0.25">
      <c r="A99" s="4" t="s">
        <v>17</v>
      </c>
      <c r="B99" s="5">
        <v>44671</v>
      </c>
      <c r="C99" s="4" t="str">
        <f>"263/E"</f>
        <v>263/E</v>
      </c>
      <c r="D99" s="4">
        <v>7104948392</v>
      </c>
      <c r="E99" s="5">
        <v>44687</v>
      </c>
      <c r="F99" s="4">
        <v>911</v>
      </c>
      <c r="G99" s="4">
        <v>2922</v>
      </c>
      <c r="H99" s="4" t="s">
        <v>122</v>
      </c>
      <c r="I99" s="4">
        <v>4416610824</v>
      </c>
      <c r="J99" s="4" t="s">
        <v>123</v>
      </c>
      <c r="K99" s="4"/>
      <c r="L99" s="6">
        <v>2577.96</v>
      </c>
      <c r="M99" s="6">
        <v>2455.1999999999998</v>
      </c>
      <c r="N99" s="5">
        <v>44701</v>
      </c>
      <c r="O99" s="4"/>
      <c r="P99" s="4" t="s">
        <v>32</v>
      </c>
    </row>
    <row r="100" spans="1:16" x14ac:dyDescent="0.25">
      <c r="A100" s="4" t="s">
        <v>36</v>
      </c>
      <c r="B100" s="5">
        <v>44665</v>
      </c>
      <c r="C100" s="4" t="str">
        <f>"26"</f>
        <v>26</v>
      </c>
      <c r="D100" s="4">
        <v>7110318423</v>
      </c>
      <c r="E100" s="5">
        <v>44693</v>
      </c>
      <c r="F100" s="4">
        <v>1038</v>
      </c>
      <c r="G100" s="4">
        <v>528</v>
      </c>
      <c r="H100" s="4" t="s">
        <v>27</v>
      </c>
      <c r="I100" s="4" t="s">
        <v>28</v>
      </c>
      <c r="J100" s="4" t="s">
        <v>29</v>
      </c>
      <c r="K100" s="4"/>
      <c r="L100" s="4">
        <v>-207.79</v>
      </c>
      <c r="M100" s="4">
        <v>-207.79</v>
      </c>
      <c r="N100" s="5">
        <v>44702</v>
      </c>
      <c r="O100" s="4"/>
      <c r="P100" s="4" t="s">
        <v>20</v>
      </c>
    </row>
    <row r="101" spans="1:16" x14ac:dyDescent="0.25">
      <c r="A101" s="4" t="s">
        <v>17</v>
      </c>
      <c r="B101" s="5">
        <v>44656</v>
      </c>
      <c r="C101" s="4" t="str">
        <f>"VH22001463"</f>
        <v>VH22001463</v>
      </c>
      <c r="D101" s="4">
        <v>7024475293</v>
      </c>
      <c r="E101" s="5">
        <v>44664</v>
      </c>
      <c r="F101" s="4">
        <v>678</v>
      </c>
      <c r="G101" s="4">
        <v>2320</v>
      </c>
      <c r="H101" s="4" t="s">
        <v>110</v>
      </c>
      <c r="I101" s="4">
        <v>5892970152</v>
      </c>
      <c r="J101" s="4" t="s">
        <v>111</v>
      </c>
      <c r="K101" s="4" t="s">
        <v>112</v>
      </c>
      <c r="L101" s="4">
        <v>55.84</v>
      </c>
      <c r="M101" s="4">
        <v>53.69</v>
      </c>
      <c r="N101" s="5">
        <v>44690</v>
      </c>
      <c r="O101" s="4"/>
      <c r="P101" s="4" t="s">
        <v>43</v>
      </c>
    </row>
    <row r="102" spans="1:16" x14ac:dyDescent="0.25">
      <c r="A102" s="4" t="s">
        <v>36</v>
      </c>
      <c r="B102" s="5">
        <v>44656</v>
      </c>
      <c r="C102" s="4" t="str">
        <f>"VH22001464"</f>
        <v>VH22001464</v>
      </c>
      <c r="D102" s="4">
        <v>7024506503</v>
      </c>
      <c r="E102" s="5">
        <v>44664</v>
      </c>
      <c r="F102" s="4">
        <v>677</v>
      </c>
      <c r="G102" s="4">
        <v>2320</v>
      </c>
      <c r="H102" s="4" t="s">
        <v>110</v>
      </c>
      <c r="I102" s="4">
        <v>5892970152</v>
      </c>
      <c r="J102" s="4" t="s">
        <v>111</v>
      </c>
      <c r="K102" s="4" t="s">
        <v>113</v>
      </c>
      <c r="L102" s="4">
        <v>-55.84</v>
      </c>
      <c r="M102" s="4">
        <v>-53.69</v>
      </c>
      <c r="N102" s="5">
        <v>44690</v>
      </c>
      <c r="O102" s="4"/>
      <c r="P102" s="4" t="s">
        <v>43</v>
      </c>
    </row>
    <row r="103" spans="1:16" x14ac:dyDescent="0.25">
      <c r="A103" s="4" t="s">
        <v>17</v>
      </c>
      <c r="B103" s="5">
        <v>44652</v>
      </c>
      <c r="C103" s="4" t="str">
        <f>"6820220416000004"</f>
        <v>6820220416000004</v>
      </c>
      <c r="D103" s="4">
        <v>7001666415</v>
      </c>
      <c r="E103" s="5">
        <v>44666</v>
      </c>
      <c r="F103" s="4">
        <v>808</v>
      </c>
      <c r="G103" s="4">
        <v>3564</v>
      </c>
      <c r="H103" s="4" t="s">
        <v>40</v>
      </c>
      <c r="I103" s="4">
        <v>488410010</v>
      </c>
      <c r="J103" s="4" t="s">
        <v>41</v>
      </c>
      <c r="K103" s="4" t="s">
        <v>133</v>
      </c>
      <c r="L103" s="4">
        <v>292.8</v>
      </c>
      <c r="M103" s="4">
        <v>240</v>
      </c>
      <c r="N103" s="5">
        <v>44687</v>
      </c>
      <c r="O103" s="4"/>
      <c r="P103" s="4" t="s">
        <v>32</v>
      </c>
    </row>
    <row r="104" spans="1:16" x14ac:dyDescent="0.25">
      <c r="A104" s="4" t="s">
        <v>17</v>
      </c>
      <c r="B104" s="5">
        <v>44641</v>
      </c>
      <c r="C104" s="4" t="str">
        <f>"FE075202201744"</f>
        <v>FE075202201744</v>
      </c>
      <c r="D104" s="4">
        <v>6919815975</v>
      </c>
      <c r="E104" s="5">
        <v>44655</v>
      </c>
      <c r="F104" s="4">
        <v>648</v>
      </c>
      <c r="G104" s="4">
        <v>4733</v>
      </c>
      <c r="H104" s="4" t="s">
        <v>134</v>
      </c>
      <c r="I104" s="4"/>
      <c r="J104" s="4" t="s">
        <v>135</v>
      </c>
      <c r="K104" s="4" t="s">
        <v>136</v>
      </c>
      <c r="L104" s="4">
        <v>4.51</v>
      </c>
      <c r="M104" s="4">
        <v>4.51</v>
      </c>
      <c r="N104" s="5">
        <v>44671</v>
      </c>
      <c r="O104" s="4"/>
      <c r="P104" s="4" t="s">
        <v>20</v>
      </c>
    </row>
    <row r="105" spans="1:16" x14ac:dyDescent="0.25">
      <c r="A105" s="4" t="s">
        <v>17</v>
      </c>
      <c r="B105" s="5">
        <v>44634</v>
      </c>
      <c r="C105" s="4" t="str">
        <f>"10PA"</f>
        <v>10PA</v>
      </c>
      <c r="D105" s="4">
        <v>6907315333</v>
      </c>
      <c r="E105" s="5">
        <v>44655</v>
      </c>
      <c r="F105" s="4">
        <v>642</v>
      </c>
      <c r="G105" s="4">
        <v>7771</v>
      </c>
      <c r="H105" s="4" t="s">
        <v>137</v>
      </c>
      <c r="I105" s="4"/>
      <c r="J105" s="4" t="s">
        <v>138</v>
      </c>
      <c r="K105" s="4" t="s">
        <v>139</v>
      </c>
      <c r="L105" s="6">
        <v>1498</v>
      </c>
      <c r="M105" s="6">
        <v>1370</v>
      </c>
      <c r="N105" s="5">
        <v>44668</v>
      </c>
      <c r="O105" s="4"/>
      <c r="P105" s="4" t="s">
        <v>20</v>
      </c>
    </row>
    <row r="106" spans="1:16" x14ac:dyDescent="0.25">
      <c r="A106" s="4" t="s">
        <v>17</v>
      </c>
      <c r="B106" s="5">
        <v>44623</v>
      </c>
      <c r="C106" s="4" t="str">
        <f>"1A/2022"</f>
        <v>1A/2022</v>
      </c>
      <c r="D106" s="4">
        <v>6859365211</v>
      </c>
      <c r="E106" s="5">
        <v>44943</v>
      </c>
      <c r="F106" s="4">
        <v>78</v>
      </c>
      <c r="G106" s="4">
        <v>7908</v>
      </c>
      <c r="H106" s="4" t="s">
        <v>72</v>
      </c>
      <c r="I106" s="4">
        <v>2707630832</v>
      </c>
      <c r="J106" s="4" t="s">
        <v>73</v>
      </c>
      <c r="K106" s="4" t="s">
        <v>140</v>
      </c>
      <c r="L106" s="6">
        <v>579009.27</v>
      </c>
      <c r="M106" s="6">
        <v>474597.76</v>
      </c>
      <c r="N106" s="5">
        <v>44661</v>
      </c>
      <c r="O106" s="4"/>
      <c r="P106" s="4" t="s">
        <v>20</v>
      </c>
    </row>
    <row r="107" spans="1:16" x14ac:dyDescent="0.25">
      <c r="A107" s="4" t="s">
        <v>17</v>
      </c>
      <c r="B107" s="5">
        <v>44586</v>
      </c>
      <c r="C107" s="4" t="str">
        <f>"10"</f>
        <v>10</v>
      </c>
      <c r="D107" s="4">
        <v>6584258045</v>
      </c>
      <c r="E107" s="5">
        <v>44606</v>
      </c>
      <c r="F107" s="4">
        <v>265</v>
      </c>
      <c r="G107" s="4">
        <v>4692</v>
      </c>
      <c r="H107" s="4" t="s">
        <v>141</v>
      </c>
      <c r="I107" s="4"/>
      <c r="J107" s="4" t="s">
        <v>142</v>
      </c>
      <c r="K107" s="4" t="s">
        <v>143</v>
      </c>
      <c r="L107" s="6">
        <v>1000.48</v>
      </c>
      <c r="M107" s="4">
        <v>909.53</v>
      </c>
      <c r="N107" s="5">
        <v>44618</v>
      </c>
      <c r="O107" s="4"/>
      <c r="P107" s="4" t="s">
        <v>20</v>
      </c>
    </row>
    <row r="108" spans="1:16" x14ac:dyDescent="0.25">
      <c r="A108" s="4" t="s">
        <v>17</v>
      </c>
      <c r="B108" s="5">
        <v>44586</v>
      </c>
      <c r="C108" s="4" t="str">
        <f>"9"</f>
        <v>9</v>
      </c>
      <c r="D108" s="4">
        <v>6584060576</v>
      </c>
      <c r="E108" s="5">
        <v>44606</v>
      </c>
      <c r="F108" s="4">
        <v>264</v>
      </c>
      <c r="G108" s="4">
        <v>4692</v>
      </c>
      <c r="H108" s="4" t="s">
        <v>141</v>
      </c>
      <c r="I108" s="4"/>
      <c r="J108" s="4" t="s">
        <v>142</v>
      </c>
      <c r="K108" s="4" t="s">
        <v>144</v>
      </c>
      <c r="L108" s="6">
        <v>1933.37</v>
      </c>
      <c r="M108" s="6">
        <v>1757.61</v>
      </c>
      <c r="N108" s="5">
        <v>44618</v>
      </c>
      <c r="O108" s="4"/>
      <c r="P108" s="4" t="s">
        <v>20</v>
      </c>
    </row>
    <row r="109" spans="1:16" x14ac:dyDescent="0.25">
      <c r="A109" s="4" t="s">
        <v>17</v>
      </c>
      <c r="B109" s="5">
        <v>44553</v>
      </c>
      <c r="C109" s="4" t="str">
        <f>"1020020210000002100"</f>
        <v>1020020210000002100</v>
      </c>
      <c r="D109" s="4">
        <v>6418362328</v>
      </c>
      <c r="E109" s="5">
        <v>44575</v>
      </c>
      <c r="F109" s="4">
        <v>106</v>
      </c>
      <c r="G109" s="4">
        <v>66</v>
      </c>
      <c r="H109" s="4" t="s">
        <v>107</v>
      </c>
      <c r="I109" s="4">
        <v>247990815</v>
      </c>
      <c r="J109" s="4" t="s">
        <v>108</v>
      </c>
      <c r="K109" s="4" t="s">
        <v>109</v>
      </c>
      <c r="L109" s="6">
        <v>11696.78</v>
      </c>
      <c r="M109" s="6">
        <v>10633.44</v>
      </c>
      <c r="N109" s="5">
        <v>44588</v>
      </c>
      <c r="O109" s="4"/>
      <c r="P109" s="4" t="s">
        <v>20</v>
      </c>
    </row>
    <row r="110" spans="1:16" x14ac:dyDescent="0.25">
      <c r="A110" s="4" t="s">
        <v>17</v>
      </c>
      <c r="B110" s="5">
        <v>44550</v>
      </c>
      <c r="C110" s="4" t="str">
        <f>"000091"</f>
        <v>000091</v>
      </c>
      <c r="D110" s="4">
        <v>6423500148</v>
      </c>
      <c r="E110" s="5">
        <v>44575</v>
      </c>
      <c r="F110" s="4">
        <v>88</v>
      </c>
      <c r="G110" s="4">
        <v>4654</v>
      </c>
      <c r="H110" s="4" t="s">
        <v>75</v>
      </c>
      <c r="I110" s="4"/>
      <c r="J110" s="4" t="s">
        <v>76</v>
      </c>
      <c r="K110" s="4"/>
      <c r="L110" s="6">
        <v>6209.41</v>
      </c>
      <c r="M110" s="6">
        <v>5089.68</v>
      </c>
      <c r="N110" s="5">
        <v>44588</v>
      </c>
      <c r="O110" s="4"/>
      <c r="P110" s="4" t="s">
        <v>20</v>
      </c>
    </row>
    <row r="111" spans="1:16" x14ac:dyDescent="0.25">
      <c r="A111" s="4" t="s">
        <v>36</v>
      </c>
      <c r="B111" s="5">
        <v>44545</v>
      </c>
      <c r="C111" s="4" t="str">
        <f>"3/PANDC"</f>
        <v>3/PANDC</v>
      </c>
      <c r="D111" s="4">
        <v>6345347377</v>
      </c>
      <c r="E111" s="5">
        <v>44575</v>
      </c>
      <c r="F111" s="4">
        <v>80</v>
      </c>
      <c r="G111" s="4">
        <v>4863</v>
      </c>
      <c r="H111" s="4" t="s">
        <v>145</v>
      </c>
      <c r="I111" s="4"/>
      <c r="J111" s="4" t="s">
        <v>146</v>
      </c>
      <c r="K111" s="4"/>
      <c r="L111" s="6">
        <v>-3093.08</v>
      </c>
      <c r="M111" s="6">
        <v>-2535.31</v>
      </c>
      <c r="N111" s="5">
        <v>44576</v>
      </c>
      <c r="O111" s="4"/>
      <c r="P111" s="4" t="s">
        <v>20</v>
      </c>
    </row>
    <row r="112" spans="1:16" x14ac:dyDescent="0.25">
      <c r="A112" s="4" t="s">
        <v>17</v>
      </c>
      <c r="B112" s="5">
        <v>44539</v>
      </c>
      <c r="C112" s="4" t="str">
        <f>"19/PA"</f>
        <v>19/PA</v>
      </c>
      <c r="D112" s="4">
        <v>6308223371</v>
      </c>
      <c r="E112" s="5">
        <v>44575</v>
      </c>
      <c r="F112" s="4">
        <v>76</v>
      </c>
      <c r="G112" s="4">
        <v>4863</v>
      </c>
      <c r="H112" s="4" t="s">
        <v>145</v>
      </c>
      <c r="I112" s="4"/>
      <c r="J112" s="4" t="s">
        <v>146</v>
      </c>
      <c r="K112" s="4" t="s">
        <v>147</v>
      </c>
      <c r="L112" s="6">
        <v>3093.08</v>
      </c>
      <c r="M112" s="6">
        <v>2535.31</v>
      </c>
      <c r="N112" s="5">
        <v>44570</v>
      </c>
      <c r="O112" s="4"/>
      <c r="P112" s="4" t="s">
        <v>20</v>
      </c>
    </row>
    <row r="113" spans="1:16" x14ac:dyDescent="0.25">
      <c r="A113" s="4" t="s">
        <v>17</v>
      </c>
      <c r="B113" s="5">
        <v>44517</v>
      </c>
      <c r="C113" s="4" t="str">
        <f>"8/FE"</f>
        <v>8/FE</v>
      </c>
      <c r="D113" s="4">
        <v>6171660652</v>
      </c>
      <c r="E113" s="5">
        <v>44539</v>
      </c>
      <c r="F113" s="4">
        <v>2304</v>
      </c>
      <c r="G113" s="4">
        <v>7655</v>
      </c>
      <c r="H113" s="4" t="s">
        <v>148</v>
      </c>
      <c r="I113" s="4" t="s">
        <v>149</v>
      </c>
      <c r="J113" s="4" t="s">
        <v>150</v>
      </c>
      <c r="K113" s="4"/>
      <c r="L113" s="6">
        <v>1400</v>
      </c>
      <c r="M113" s="6">
        <v>1400</v>
      </c>
      <c r="N113" s="5">
        <v>44547</v>
      </c>
      <c r="O113" s="4"/>
      <c r="P113" s="4" t="s">
        <v>20</v>
      </c>
    </row>
    <row r="114" spans="1:16" x14ac:dyDescent="0.25">
      <c r="A114" s="4" t="s">
        <v>17</v>
      </c>
      <c r="B114" s="5">
        <v>44510</v>
      </c>
      <c r="C114" s="4" t="str">
        <f>"79"</f>
        <v>79</v>
      </c>
      <c r="D114" s="4">
        <v>6125286390</v>
      </c>
      <c r="E114" s="5">
        <v>44517</v>
      </c>
      <c r="F114" s="4">
        <v>2179</v>
      </c>
      <c r="G114" s="4">
        <v>4345</v>
      </c>
      <c r="H114" s="4" t="s">
        <v>151</v>
      </c>
      <c r="I114" s="4" t="s">
        <v>152</v>
      </c>
      <c r="J114" s="4" t="s">
        <v>153</v>
      </c>
      <c r="K114" s="4"/>
      <c r="L114" s="6">
        <v>3995.13</v>
      </c>
      <c r="M114" s="6">
        <v>3365.38</v>
      </c>
      <c r="N114" s="5">
        <v>44540</v>
      </c>
      <c r="O114" s="4"/>
      <c r="P114" s="4" t="s">
        <v>43</v>
      </c>
    </row>
    <row r="115" spans="1:16" x14ac:dyDescent="0.25">
      <c r="A115" s="4" t="s">
        <v>36</v>
      </c>
      <c r="B115" s="5">
        <v>44504</v>
      </c>
      <c r="C115" s="4" t="str">
        <f>"5270626759"</f>
        <v>5270626759</v>
      </c>
      <c r="D115" s="4">
        <v>6091034124</v>
      </c>
      <c r="E115" s="5">
        <v>44522</v>
      </c>
      <c r="F115" s="4">
        <v>2195</v>
      </c>
      <c r="G115" s="4">
        <v>4333</v>
      </c>
      <c r="H115" s="4" t="s">
        <v>154</v>
      </c>
      <c r="I115" s="4"/>
      <c r="J115" s="4" t="s">
        <v>155</v>
      </c>
      <c r="K115" s="4"/>
      <c r="L115" s="4">
        <v>-118</v>
      </c>
      <c r="M115" s="4">
        <v>-96.72</v>
      </c>
      <c r="N115" s="5">
        <v>44535</v>
      </c>
      <c r="O115" s="4"/>
      <c r="P115" s="4" t="s">
        <v>20</v>
      </c>
    </row>
    <row r="116" spans="1:16" x14ac:dyDescent="0.25">
      <c r="A116" s="4" t="s">
        <v>17</v>
      </c>
      <c r="B116" s="5">
        <v>44475</v>
      </c>
      <c r="C116" s="4" t="str">
        <f>"26"</f>
        <v>26</v>
      </c>
      <c r="D116" s="4">
        <v>5909216208</v>
      </c>
      <c r="E116" s="5">
        <v>44972</v>
      </c>
      <c r="F116" s="4">
        <v>319</v>
      </c>
      <c r="G116" s="4">
        <v>2342</v>
      </c>
      <c r="H116" s="4" t="s">
        <v>156</v>
      </c>
      <c r="I116" s="4" t="s">
        <v>157</v>
      </c>
      <c r="J116" s="4" t="s">
        <v>158</v>
      </c>
      <c r="K116" s="4"/>
      <c r="L116" s="4">
        <v>909.03</v>
      </c>
      <c r="M116" s="4">
        <v>765.74</v>
      </c>
      <c r="N116" s="5">
        <v>44505</v>
      </c>
      <c r="O116" s="4"/>
      <c r="P116" s="4" t="s">
        <v>91</v>
      </c>
    </row>
    <row r="117" spans="1:16" x14ac:dyDescent="0.25">
      <c r="A117" s="4" t="s">
        <v>17</v>
      </c>
      <c r="B117" s="5">
        <v>44475</v>
      </c>
      <c r="C117" s="4" t="str">
        <f>"27"</f>
        <v>27</v>
      </c>
      <c r="D117" s="4">
        <v>5909261497</v>
      </c>
      <c r="E117" s="5">
        <v>44972</v>
      </c>
      <c r="F117" s="4">
        <v>321</v>
      </c>
      <c r="G117" s="4">
        <v>2342</v>
      </c>
      <c r="H117" s="4" t="s">
        <v>156</v>
      </c>
      <c r="I117" s="4" t="s">
        <v>157</v>
      </c>
      <c r="J117" s="4" t="s">
        <v>158</v>
      </c>
      <c r="K117" s="4"/>
      <c r="L117" s="6">
        <v>1971.03</v>
      </c>
      <c r="M117" s="6">
        <v>1665.82</v>
      </c>
      <c r="N117" s="5">
        <v>44506</v>
      </c>
      <c r="O117" s="4"/>
      <c r="P117" s="4" t="s">
        <v>91</v>
      </c>
    </row>
    <row r="118" spans="1:16" x14ac:dyDescent="0.25">
      <c r="A118" s="4" t="s">
        <v>17</v>
      </c>
      <c r="B118" s="5">
        <v>44475</v>
      </c>
      <c r="C118" s="4" t="str">
        <f>"28"</f>
        <v>28</v>
      </c>
      <c r="D118" s="4">
        <v>5909293901</v>
      </c>
      <c r="E118" s="5">
        <v>44972</v>
      </c>
      <c r="F118" s="4">
        <v>320</v>
      </c>
      <c r="G118" s="4">
        <v>2342</v>
      </c>
      <c r="H118" s="4" t="s">
        <v>156</v>
      </c>
      <c r="I118" s="4" t="s">
        <v>157</v>
      </c>
      <c r="J118" s="4" t="s">
        <v>158</v>
      </c>
      <c r="K118" s="4"/>
      <c r="L118" s="6">
        <v>3008.7</v>
      </c>
      <c r="M118" s="6">
        <v>2534.44</v>
      </c>
      <c r="N118" s="5">
        <v>44505</v>
      </c>
      <c r="O118" s="4"/>
      <c r="P118" s="4" t="s">
        <v>91</v>
      </c>
    </row>
    <row r="119" spans="1:16" x14ac:dyDescent="0.25">
      <c r="A119" s="4" t="s">
        <v>17</v>
      </c>
      <c r="B119" s="5">
        <v>44389</v>
      </c>
      <c r="C119" s="4" t="str">
        <f>"198"</f>
        <v>198</v>
      </c>
      <c r="D119" s="4">
        <v>5488521924</v>
      </c>
      <c r="E119" s="5">
        <v>44417</v>
      </c>
      <c r="F119" s="4">
        <v>1543</v>
      </c>
      <c r="G119" s="4">
        <v>528</v>
      </c>
      <c r="H119" s="4" t="s">
        <v>27</v>
      </c>
      <c r="I119" s="4" t="s">
        <v>28</v>
      </c>
      <c r="J119" s="4" t="s">
        <v>29</v>
      </c>
      <c r="K119" s="4"/>
      <c r="L119" s="4">
        <v>253.5</v>
      </c>
      <c r="M119" s="4">
        <v>207.79</v>
      </c>
      <c r="N119" s="5">
        <v>44430</v>
      </c>
      <c r="O119" s="4"/>
      <c r="P119" s="4" t="s">
        <v>20</v>
      </c>
    </row>
    <row r="120" spans="1:16" x14ac:dyDescent="0.25">
      <c r="A120" s="4" t="s">
        <v>17</v>
      </c>
      <c r="B120" s="5">
        <v>44274</v>
      </c>
      <c r="C120" s="4" t="str">
        <f>"0391/2021"</f>
        <v>0391/2021</v>
      </c>
      <c r="D120" s="4">
        <v>4808872976</v>
      </c>
      <c r="E120" s="5">
        <v>44288</v>
      </c>
      <c r="F120" s="4">
        <v>627</v>
      </c>
      <c r="G120" s="4">
        <v>4473</v>
      </c>
      <c r="H120" s="4" t="s">
        <v>159</v>
      </c>
      <c r="I120" s="4"/>
      <c r="J120" s="4" t="s">
        <v>160</v>
      </c>
      <c r="K120" s="4" t="s">
        <v>161</v>
      </c>
      <c r="L120" s="4">
        <v>218.38</v>
      </c>
      <c r="M120" s="4">
        <v>179</v>
      </c>
      <c r="N120" s="5">
        <v>44317</v>
      </c>
      <c r="O120" s="4"/>
      <c r="P120" s="4" t="s">
        <v>32</v>
      </c>
    </row>
    <row r="121" spans="1:16" x14ac:dyDescent="0.25">
      <c r="A121" s="4" t="s">
        <v>17</v>
      </c>
      <c r="B121" s="5">
        <v>44272</v>
      </c>
      <c r="C121" s="4" t="str">
        <f>"FPA8/21"</f>
        <v>FPA8/21</v>
      </c>
      <c r="D121" s="4">
        <v>4732397393</v>
      </c>
      <c r="E121" s="5">
        <v>44288</v>
      </c>
      <c r="F121" s="4">
        <v>628</v>
      </c>
      <c r="G121" s="4">
        <v>262</v>
      </c>
      <c r="H121" s="4" t="s">
        <v>162</v>
      </c>
      <c r="I121" s="4"/>
      <c r="J121" s="4" t="s">
        <v>163</v>
      </c>
      <c r="K121" s="4"/>
      <c r="L121" s="4">
        <v>732</v>
      </c>
      <c r="M121" s="4">
        <v>600</v>
      </c>
      <c r="N121" s="5">
        <v>44302</v>
      </c>
      <c r="O121" s="4"/>
      <c r="P121" s="4" t="s">
        <v>20</v>
      </c>
    </row>
    <row r="122" spans="1:16" x14ac:dyDescent="0.25">
      <c r="A122" s="4" t="s">
        <v>36</v>
      </c>
      <c r="B122" s="5">
        <v>44263</v>
      </c>
      <c r="C122" s="4" t="str">
        <f>"Z-SO-PO 5650012"</f>
        <v>Z-SO-PO 5650012</v>
      </c>
      <c r="D122" s="4">
        <v>4678925030</v>
      </c>
      <c r="E122" s="5">
        <v>44277</v>
      </c>
      <c r="F122" s="4">
        <v>536</v>
      </c>
      <c r="G122" s="4">
        <v>4918</v>
      </c>
      <c r="H122" s="4" t="s">
        <v>164</v>
      </c>
      <c r="I122" s="4">
        <v>6247370155</v>
      </c>
      <c r="J122" s="4" t="s">
        <v>165</v>
      </c>
      <c r="K122" s="4" t="s">
        <v>166</v>
      </c>
      <c r="L122" s="6">
        <v>-2379</v>
      </c>
      <c r="M122" s="6">
        <v>-1950</v>
      </c>
      <c r="N122" s="5">
        <v>44294</v>
      </c>
      <c r="O122" s="4"/>
      <c r="P122" s="4" t="s">
        <v>20</v>
      </c>
    </row>
    <row r="123" spans="1:16" x14ac:dyDescent="0.25">
      <c r="A123" s="4" t="s">
        <v>17</v>
      </c>
      <c r="B123" s="5">
        <v>44255</v>
      </c>
      <c r="C123" s="4" t="str">
        <f>"0001113367"</f>
        <v>0001113367</v>
      </c>
      <c r="D123" s="4">
        <v>4701450765</v>
      </c>
      <c r="E123" s="5">
        <v>44277</v>
      </c>
      <c r="F123" s="4">
        <v>533</v>
      </c>
      <c r="G123" s="4">
        <v>323</v>
      </c>
      <c r="H123" s="4" t="s">
        <v>167</v>
      </c>
      <c r="I123" s="4">
        <v>6188330150</v>
      </c>
      <c r="J123" s="4" t="s">
        <v>168</v>
      </c>
      <c r="K123" s="4" t="s">
        <v>169</v>
      </c>
      <c r="L123" s="4">
        <v>500</v>
      </c>
      <c r="M123" s="4">
        <v>500</v>
      </c>
      <c r="N123" s="5">
        <v>44297</v>
      </c>
      <c r="O123" s="4"/>
      <c r="P123" s="4" t="s">
        <v>91</v>
      </c>
    </row>
    <row r="124" spans="1:16" x14ac:dyDescent="0.25">
      <c r="A124" s="4" t="s">
        <v>17</v>
      </c>
      <c r="B124" s="5">
        <v>44243</v>
      </c>
      <c r="C124" s="4" t="str">
        <f>"6820210216000662"</f>
        <v>6820210216000662</v>
      </c>
      <c r="D124" s="4">
        <v>4569255701</v>
      </c>
      <c r="E124" s="5">
        <v>44246</v>
      </c>
      <c r="F124" s="4">
        <v>368</v>
      </c>
      <c r="G124" s="4">
        <v>3564</v>
      </c>
      <c r="H124" s="4" t="s">
        <v>40</v>
      </c>
      <c r="I124" s="4">
        <v>488410010</v>
      </c>
      <c r="J124" s="4" t="s">
        <v>41</v>
      </c>
      <c r="K124" s="4" t="s">
        <v>170</v>
      </c>
      <c r="L124" s="4">
        <v>292.8</v>
      </c>
      <c r="M124" s="4">
        <v>240</v>
      </c>
      <c r="N124" s="5">
        <v>44274</v>
      </c>
      <c r="O124" s="4"/>
      <c r="P124" s="4" t="s">
        <v>43</v>
      </c>
    </row>
    <row r="125" spans="1:16" x14ac:dyDescent="0.25">
      <c r="A125" s="4" t="s">
        <v>17</v>
      </c>
      <c r="B125" s="5">
        <v>44225</v>
      </c>
      <c r="C125" s="4" t="str">
        <f>"0156/2021"</f>
        <v>0156/2021</v>
      </c>
      <c r="D125" s="4">
        <v>4649685657</v>
      </c>
      <c r="E125" s="5">
        <v>44260</v>
      </c>
      <c r="F125" s="4">
        <v>407</v>
      </c>
      <c r="G125" s="4">
        <v>4473</v>
      </c>
      <c r="H125" s="4" t="s">
        <v>159</v>
      </c>
      <c r="I125" s="4"/>
      <c r="J125" s="4" t="s">
        <v>160</v>
      </c>
      <c r="K125" s="4" t="s">
        <v>161</v>
      </c>
      <c r="L125" s="4">
        <v>233.02</v>
      </c>
      <c r="M125" s="4">
        <v>191</v>
      </c>
      <c r="N125" s="5">
        <v>44289</v>
      </c>
      <c r="O125" s="4"/>
      <c r="P125" s="4" t="s">
        <v>43</v>
      </c>
    </row>
    <row r="126" spans="1:16" x14ac:dyDescent="0.25">
      <c r="A126" s="4" t="s">
        <v>36</v>
      </c>
      <c r="B126" s="5">
        <v>44210</v>
      </c>
      <c r="C126" s="4" t="str">
        <f>"1"</f>
        <v>1</v>
      </c>
      <c r="D126" s="4">
        <v>4369576154</v>
      </c>
      <c r="E126" s="5">
        <v>44228</v>
      </c>
      <c r="F126" s="4">
        <v>257</v>
      </c>
      <c r="G126" s="4">
        <v>4800</v>
      </c>
      <c r="H126" s="4" t="s">
        <v>171</v>
      </c>
      <c r="I126" s="4">
        <v>2159670799</v>
      </c>
      <c r="J126" s="4" t="s">
        <v>172</v>
      </c>
      <c r="K126" s="4" t="s">
        <v>173</v>
      </c>
      <c r="L126" s="6">
        <v>-8037.36</v>
      </c>
      <c r="M126" s="6">
        <v>-6588</v>
      </c>
      <c r="N126" s="5">
        <v>44240</v>
      </c>
      <c r="O126" s="4"/>
      <c r="P126" s="4" t="s">
        <v>20</v>
      </c>
    </row>
    <row r="127" spans="1:16" x14ac:dyDescent="0.25">
      <c r="A127" s="4" t="s">
        <v>17</v>
      </c>
      <c r="B127" s="5">
        <v>44203</v>
      </c>
      <c r="C127" s="4" t="str">
        <f>"16"</f>
        <v>16</v>
      </c>
      <c r="D127" s="4">
        <v>4328229371</v>
      </c>
      <c r="E127" s="5">
        <v>44215</v>
      </c>
      <c r="F127" s="4">
        <v>78</v>
      </c>
      <c r="G127" s="4">
        <v>4256</v>
      </c>
      <c r="H127" s="4" t="s">
        <v>61</v>
      </c>
      <c r="I127" s="4">
        <v>3882030822</v>
      </c>
      <c r="J127" s="4" t="s">
        <v>62</v>
      </c>
      <c r="K127" s="4" t="s">
        <v>174</v>
      </c>
      <c r="L127" s="6">
        <v>2754.42</v>
      </c>
      <c r="M127" s="6">
        <v>2750.75</v>
      </c>
      <c r="N127" s="5">
        <v>44233</v>
      </c>
      <c r="O127" s="4"/>
      <c r="P127" s="4" t="s">
        <v>32</v>
      </c>
    </row>
    <row r="128" spans="1:16" x14ac:dyDescent="0.25">
      <c r="A128" s="4" t="s">
        <v>17</v>
      </c>
      <c r="B128" s="5">
        <v>44194</v>
      </c>
      <c r="C128" s="4" t="str">
        <f>"1020020200000003900"</f>
        <v>1020020200000003900</v>
      </c>
      <c r="D128" s="4">
        <v>4362616491</v>
      </c>
      <c r="E128" s="5">
        <v>44215</v>
      </c>
      <c r="F128" s="4">
        <v>87</v>
      </c>
      <c r="G128" s="4">
        <v>66</v>
      </c>
      <c r="H128" s="4" t="s">
        <v>107</v>
      </c>
      <c r="I128" s="4">
        <v>247990815</v>
      </c>
      <c r="J128" s="4" t="s">
        <v>108</v>
      </c>
      <c r="K128" s="4" t="s">
        <v>109</v>
      </c>
      <c r="L128" s="6">
        <v>7557.22</v>
      </c>
      <c r="M128" s="6">
        <v>6870.2</v>
      </c>
      <c r="N128" s="5">
        <v>44239</v>
      </c>
      <c r="O128" s="4"/>
      <c r="P128" s="4" t="s">
        <v>20</v>
      </c>
    </row>
    <row r="129" spans="1:16" x14ac:dyDescent="0.25">
      <c r="A129" s="4" t="s">
        <v>17</v>
      </c>
      <c r="B129" s="5">
        <v>44194</v>
      </c>
      <c r="C129" s="4" t="str">
        <f>"63"</f>
        <v>63</v>
      </c>
      <c r="D129" s="4">
        <v>4287302308</v>
      </c>
      <c r="E129" s="5">
        <v>44215</v>
      </c>
      <c r="F129" s="4">
        <v>67</v>
      </c>
      <c r="G129" s="4">
        <v>4800</v>
      </c>
      <c r="H129" s="4" t="s">
        <v>171</v>
      </c>
      <c r="I129" s="4">
        <v>2159670799</v>
      </c>
      <c r="J129" s="4" t="s">
        <v>172</v>
      </c>
      <c r="K129" s="4" t="s">
        <v>173</v>
      </c>
      <c r="L129" s="6">
        <v>8037.36</v>
      </c>
      <c r="M129" s="6">
        <v>6588</v>
      </c>
      <c r="N129" s="5">
        <v>44224</v>
      </c>
      <c r="O129" s="4"/>
      <c r="P129" s="4" t="s">
        <v>20</v>
      </c>
    </row>
    <row r="130" spans="1:16" x14ac:dyDescent="0.25">
      <c r="A130" s="4" t="s">
        <v>17</v>
      </c>
      <c r="B130" s="5">
        <v>44183</v>
      </c>
      <c r="C130" s="4" t="str">
        <f>"1/PA"</f>
        <v>1/PA</v>
      </c>
      <c r="D130" s="4">
        <v>4235362586</v>
      </c>
      <c r="E130" s="5">
        <v>44215</v>
      </c>
      <c r="F130" s="4">
        <v>66</v>
      </c>
      <c r="G130" s="4">
        <v>1846</v>
      </c>
      <c r="H130" s="4" t="s">
        <v>175</v>
      </c>
      <c r="I130" s="4" t="s">
        <v>176</v>
      </c>
      <c r="J130" s="4" t="s">
        <v>177</v>
      </c>
      <c r="K130" s="4" t="s">
        <v>178</v>
      </c>
      <c r="L130" s="6">
        <v>1100</v>
      </c>
      <c r="M130" s="6">
        <v>1000</v>
      </c>
      <c r="N130" s="5">
        <v>44213</v>
      </c>
      <c r="O130" s="4"/>
      <c r="P130" s="4" t="s">
        <v>20</v>
      </c>
    </row>
    <row r="131" spans="1:16" x14ac:dyDescent="0.25">
      <c r="A131" s="4" t="s">
        <v>17</v>
      </c>
      <c r="B131" s="5">
        <v>44151</v>
      </c>
      <c r="C131" s="4" t="str">
        <f>"113-2020-REV-FE"</f>
        <v>113-2020-REV-FE</v>
      </c>
      <c r="D131" s="4">
        <v>4252504891</v>
      </c>
      <c r="E131" s="5">
        <v>44193</v>
      </c>
      <c r="F131" s="4">
        <v>2202</v>
      </c>
      <c r="G131" s="4">
        <v>4077</v>
      </c>
      <c r="H131" s="4" t="s">
        <v>179</v>
      </c>
      <c r="I131" s="4"/>
      <c r="J131" s="4" t="s">
        <v>180</v>
      </c>
      <c r="K131" s="4" t="s">
        <v>181</v>
      </c>
      <c r="L131" s="4">
        <v>66.88</v>
      </c>
      <c r="M131" s="4">
        <v>66.88</v>
      </c>
      <c r="N131" s="5">
        <v>44217</v>
      </c>
      <c r="O131" s="4"/>
      <c r="P131" s="4" t="s">
        <v>43</v>
      </c>
    </row>
    <row r="132" spans="1:16" x14ac:dyDescent="0.25">
      <c r="A132" s="4" t="s">
        <v>17</v>
      </c>
      <c r="B132" s="5">
        <v>44113</v>
      </c>
      <c r="C132" s="4" t="str">
        <f>"1588/2020"</f>
        <v>1588/2020</v>
      </c>
      <c r="D132" s="4">
        <v>3884064850</v>
      </c>
      <c r="E132" s="5">
        <v>44130</v>
      </c>
      <c r="F132" s="4">
        <v>1801</v>
      </c>
      <c r="G132" s="4">
        <v>4473</v>
      </c>
      <c r="H132" s="4" t="s">
        <v>159</v>
      </c>
      <c r="I132" s="4"/>
      <c r="J132" s="4" t="s">
        <v>160</v>
      </c>
      <c r="K132" s="4" t="s">
        <v>161</v>
      </c>
      <c r="L132" s="4">
        <v>218.38</v>
      </c>
      <c r="M132" s="4">
        <v>179</v>
      </c>
      <c r="N132" s="5">
        <v>44155</v>
      </c>
      <c r="O132" s="4"/>
      <c r="P132" s="4" t="s">
        <v>43</v>
      </c>
    </row>
    <row r="133" spans="1:16" x14ac:dyDescent="0.25">
      <c r="A133" s="4" t="s">
        <v>17</v>
      </c>
      <c r="B133" s="5">
        <v>44071</v>
      </c>
      <c r="C133" s="4" t="str">
        <f>"1351/2020"</f>
        <v>1351/2020</v>
      </c>
      <c r="D133" s="4">
        <v>3588187420</v>
      </c>
      <c r="E133" s="5">
        <v>44081</v>
      </c>
      <c r="F133" s="4">
        <v>1453</v>
      </c>
      <c r="G133" s="4">
        <v>4473</v>
      </c>
      <c r="H133" s="4" t="s">
        <v>159</v>
      </c>
      <c r="I133" s="4"/>
      <c r="J133" s="4" t="s">
        <v>160</v>
      </c>
      <c r="K133" s="4" t="s">
        <v>161</v>
      </c>
      <c r="L133" s="4">
        <v>203.74</v>
      </c>
      <c r="M133" s="4">
        <v>167</v>
      </c>
      <c r="N133" s="5">
        <v>44107</v>
      </c>
      <c r="O133" s="4"/>
      <c r="P133" s="4" t="s">
        <v>43</v>
      </c>
    </row>
    <row r="134" spans="1:16" x14ac:dyDescent="0.25">
      <c r="A134" s="4" t="s">
        <v>17</v>
      </c>
      <c r="B134" s="5">
        <v>44056</v>
      </c>
      <c r="C134" s="4" t="str">
        <f>"FATTPA 10_20"</f>
        <v>FATTPA 10_20</v>
      </c>
      <c r="D134" s="4">
        <v>3496532721</v>
      </c>
      <c r="E134" s="5">
        <v>44074</v>
      </c>
      <c r="F134" s="4">
        <v>1433</v>
      </c>
      <c r="G134" s="4">
        <v>4681</v>
      </c>
      <c r="H134" s="4" t="s">
        <v>182</v>
      </c>
      <c r="I134" s="4" t="s">
        <v>183</v>
      </c>
      <c r="J134" s="4" t="s">
        <v>184</v>
      </c>
      <c r="K134" s="4" t="s">
        <v>185</v>
      </c>
      <c r="L134" s="4">
        <v>205.8</v>
      </c>
      <c r="M134" s="4">
        <v>187.09</v>
      </c>
      <c r="N134" s="5">
        <v>44086</v>
      </c>
      <c r="O134" s="4"/>
      <c r="P134" s="4" t="s">
        <v>20</v>
      </c>
    </row>
    <row r="135" spans="1:16" x14ac:dyDescent="0.25">
      <c r="A135" s="4" t="s">
        <v>17</v>
      </c>
      <c r="B135" s="5">
        <v>44056</v>
      </c>
      <c r="C135" s="4" t="str">
        <f>"FATTPA 11_20"</f>
        <v>FATTPA 11_20</v>
      </c>
      <c r="D135" s="4">
        <v>3496542605</v>
      </c>
      <c r="E135" s="5">
        <v>44074</v>
      </c>
      <c r="F135" s="4">
        <v>1425</v>
      </c>
      <c r="G135" s="4">
        <v>4681</v>
      </c>
      <c r="H135" s="4" t="s">
        <v>182</v>
      </c>
      <c r="I135" s="4" t="s">
        <v>183</v>
      </c>
      <c r="J135" s="4" t="s">
        <v>184</v>
      </c>
      <c r="K135" s="4" t="s">
        <v>185</v>
      </c>
      <c r="L135" s="4">
        <v>630.21</v>
      </c>
      <c r="M135" s="4">
        <v>572.91999999999996</v>
      </c>
      <c r="N135" s="5">
        <v>44086</v>
      </c>
      <c r="O135" s="4"/>
      <c r="P135" s="4" t="s">
        <v>20</v>
      </c>
    </row>
    <row r="136" spans="1:16" x14ac:dyDescent="0.25">
      <c r="A136" s="4" t="s">
        <v>17</v>
      </c>
      <c r="B136" s="5">
        <v>44056</v>
      </c>
      <c r="C136" s="4" t="str">
        <f>"FATTPA 3_20"</f>
        <v>FATTPA 3_20</v>
      </c>
      <c r="D136" s="4">
        <v>3496454165</v>
      </c>
      <c r="E136" s="5">
        <v>44074</v>
      </c>
      <c r="F136" s="4">
        <v>1427</v>
      </c>
      <c r="G136" s="4">
        <v>4681</v>
      </c>
      <c r="H136" s="4" t="s">
        <v>182</v>
      </c>
      <c r="I136" s="4" t="s">
        <v>183</v>
      </c>
      <c r="J136" s="4" t="s">
        <v>184</v>
      </c>
      <c r="K136" s="4" t="s">
        <v>185</v>
      </c>
      <c r="L136" s="4">
        <v>271.95</v>
      </c>
      <c r="M136" s="4">
        <v>247.23</v>
      </c>
      <c r="N136" s="5">
        <v>44086</v>
      </c>
      <c r="O136" s="4"/>
      <c r="P136" s="4" t="s">
        <v>20</v>
      </c>
    </row>
    <row r="137" spans="1:16" x14ac:dyDescent="0.25">
      <c r="A137" s="4" t="s">
        <v>17</v>
      </c>
      <c r="B137" s="5">
        <v>44056</v>
      </c>
      <c r="C137" s="4" t="str">
        <f>"FATTPA 4_20"</f>
        <v>FATTPA 4_20</v>
      </c>
      <c r="D137" s="4">
        <v>3496461998</v>
      </c>
      <c r="E137" s="5">
        <v>44074</v>
      </c>
      <c r="F137" s="4">
        <v>1428</v>
      </c>
      <c r="G137" s="4">
        <v>4681</v>
      </c>
      <c r="H137" s="4" t="s">
        <v>182</v>
      </c>
      <c r="I137" s="4" t="s">
        <v>183</v>
      </c>
      <c r="J137" s="4" t="s">
        <v>184</v>
      </c>
      <c r="K137" s="4" t="s">
        <v>185</v>
      </c>
      <c r="L137" s="4">
        <v>174.06</v>
      </c>
      <c r="M137" s="4">
        <v>158.24</v>
      </c>
      <c r="N137" s="5">
        <v>44086</v>
      </c>
      <c r="O137" s="4"/>
      <c r="P137" s="4" t="s">
        <v>20</v>
      </c>
    </row>
    <row r="138" spans="1:16" x14ac:dyDescent="0.25">
      <c r="A138" s="4" t="s">
        <v>17</v>
      </c>
      <c r="B138" s="5">
        <v>44056</v>
      </c>
      <c r="C138" s="4" t="str">
        <f>"FATTPA 5_20"</f>
        <v>FATTPA 5_20</v>
      </c>
      <c r="D138" s="4">
        <v>3496469863</v>
      </c>
      <c r="E138" s="5">
        <v>44074</v>
      </c>
      <c r="F138" s="4">
        <v>1429</v>
      </c>
      <c r="G138" s="4">
        <v>4681</v>
      </c>
      <c r="H138" s="4" t="s">
        <v>182</v>
      </c>
      <c r="I138" s="4" t="s">
        <v>183</v>
      </c>
      <c r="J138" s="4" t="s">
        <v>184</v>
      </c>
      <c r="K138" s="4" t="s">
        <v>185</v>
      </c>
      <c r="L138" s="4">
        <v>46.24</v>
      </c>
      <c r="M138" s="4">
        <v>42.04</v>
      </c>
      <c r="N138" s="5">
        <v>44086</v>
      </c>
      <c r="O138" s="4"/>
      <c r="P138" s="4" t="s">
        <v>20</v>
      </c>
    </row>
    <row r="139" spans="1:16" x14ac:dyDescent="0.25">
      <c r="A139" s="4" t="s">
        <v>17</v>
      </c>
      <c r="B139" s="5">
        <v>44056</v>
      </c>
      <c r="C139" s="4" t="str">
        <f>"FATTPA 6_20"</f>
        <v>FATTPA 6_20</v>
      </c>
      <c r="D139" s="4">
        <v>3496483170</v>
      </c>
      <c r="E139" s="5">
        <v>44074</v>
      </c>
      <c r="F139" s="4">
        <v>1430</v>
      </c>
      <c r="G139" s="4">
        <v>4681</v>
      </c>
      <c r="H139" s="4" t="s">
        <v>182</v>
      </c>
      <c r="I139" s="4" t="s">
        <v>183</v>
      </c>
      <c r="J139" s="4" t="s">
        <v>184</v>
      </c>
      <c r="K139" s="4" t="s">
        <v>185</v>
      </c>
      <c r="L139" s="4">
        <v>171.93</v>
      </c>
      <c r="M139" s="4">
        <v>156.30000000000001</v>
      </c>
      <c r="N139" s="5">
        <v>44086</v>
      </c>
      <c r="O139" s="4"/>
      <c r="P139" s="4" t="s">
        <v>20</v>
      </c>
    </row>
    <row r="140" spans="1:16" x14ac:dyDescent="0.25">
      <c r="A140" s="4" t="s">
        <v>17</v>
      </c>
      <c r="B140" s="5">
        <v>44056</v>
      </c>
      <c r="C140" s="4" t="str">
        <f>"FATTPA 7_20"</f>
        <v>FATTPA 7_20</v>
      </c>
      <c r="D140" s="4">
        <v>3496505516</v>
      </c>
      <c r="E140" s="5">
        <v>44074</v>
      </c>
      <c r="F140" s="4">
        <v>1431</v>
      </c>
      <c r="G140" s="4">
        <v>4681</v>
      </c>
      <c r="H140" s="4" t="s">
        <v>182</v>
      </c>
      <c r="I140" s="4" t="s">
        <v>183</v>
      </c>
      <c r="J140" s="4" t="s">
        <v>184</v>
      </c>
      <c r="K140" s="4" t="s">
        <v>185</v>
      </c>
      <c r="L140" s="4">
        <v>116.17</v>
      </c>
      <c r="M140" s="4">
        <v>105.61</v>
      </c>
      <c r="N140" s="5">
        <v>44086</v>
      </c>
      <c r="O140" s="4"/>
      <c r="P140" s="4" t="s">
        <v>20</v>
      </c>
    </row>
    <row r="141" spans="1:16" x14ac:dyDescent="0.25">
      <c r="A141" s="4" t="s">
        <v>17</v>
      </c>
      <c r="B141" s="5">
        <v>44056</v>
      </c>
      <c r="C141" s="4" t="str">
        <f>"FATTPA 8_20"</f>
        <v>FATTPA 8_20</v>
      </c>
      <c r="D141" s="4">
        <v>3496520328</v>
      </c>
      <c r="E141" s="5">
        <v>44074</v>
      </c>
      <c r="F141" s="4">
        <v>1424</v>
      </c>
      <c r="G141" s="4">
        <v>4681</v>
      </c>
      <c r="H141" s="4" t="s">
        <v>182</v>
      </c>
      <c r="I141" s="4" t="s">
        <v>183</v>
      </c>
      <c r="J141" s="4" t="s">
        <v>184</v>
      </c>
      <c r="K141" s="4" t="s">
        <v>185</v>
      </c>
      <c r="L141" s="4">
        <v>62.62</v>
      </c>
      <c r="M141" s="4">
        <v>56.93</v>
      </c>
      <c r="N141" s="5">
        <v>44086</v>
      </c>
      <c r="O141" s="4"/>
      <c r="P141" s="4" t="s">
        <v>20</v>
      </c>
    </row>
    <row r="142" spans="1:16" x14ac:dyDescent="0.25">
      <c r="A142" s="4" t="s">
        <v>17</v>
      </c>
      <c r="B142" s="5">
        <v>44056</v>
      </c>
      <c r="C142" s="4" t="str">
        <f>"FATTPA 9_20"</f>
        <v>FATTPA 9_20</v>
      </c>
      <c r="D142" s="4">
        <v>3496526061</v>
      </c>
      <c r="E142" s="5">
        <v>44074</v>
      </c>
      <c r="F142" s="4">
        <v>1432</v>
      </c>
      <c r="G142" s="4">
        <v>4681</v>
      </c>
      <c r="H142" s="4" t="s">
        <v>182</v>
      </c>
      <c r="I142" s="4" t="s">
        <v>183</v>
      </c>
      <c r="J142" s="4" t="s">
        <v>184</v>
      </c>
      <c r="K142" s="4" t="s">
        <v>185</v>
      </c>
      <c r="L142" s="4">
        <v>38.020000000000003</v>
      </c>
      <c r="M142" s="4">
        <v>34.56</v>
      </c>
      <c r="N142" s="5">
        <v>44086</v>
      </c>
      <c r="O142" s="4"/>
      <c r="P142" s="4" t="s">
        <v>20</v>
      </c>
    </row>
    <row r="143" spans="1:16" x14ac:dyDescent="0.25">
      <c r="A143" s="4" t="s">
        <v>17</v>
      </c>
      <c r="B143" s="5">
        <v>44012</v>
      </c>
      <c r="C143" s="4" t="str">
        <f>"A20PAS0006429"</f>
        <v>A20PAS0006429</v>
      </c>
      <c r="D143" s="4">
        <v>3273246045</v>
      </c>
      <c r="E143" s="5">
        <v>44039</v>
      </c>
      <c r="F143" s="4">
        <v>1124</v>
      </c>
      <c r="G143" s="4">
        <v>730</v>
      </c>
      <c r="H143" s="4" t="s">
        <v>186</v>
      </c>
      <c r="I143" s="4"/>
      <c r="J143" s="4" t="s">
        <v>187</v>
      </c>
      <c r="K143" s="4"/>
      <c r="L143" s="4">
        <v>26.96</v>
      </c>
      <c r="M143" s="4">
        <v>22.1</v>
      </c>
      <c r="N143" s="5">
        <v>44051</v>
      </c>
      <c r="O143" s="4"/>
      <c r="P143" s="4" t="s">
        <v>188</v>
      </c>
    </row>
    <row r="144" spans="1:16" x14ac:dyDescent="0.25">
      <c r="A144" s="4" t="s">
        <v>17</v>
      </c>
      <c r="B144" s="5">
        <v>43938</v>
      </c>
      <c r="C144" s="4" t="str">
        <f>"0664/2020"</f>
        <v>0664/2020</v>
      </c>
      <c r="D144" s="4">
        <v>2962490063</v>
      </c>
      <c r="E144" s="5">
        <v>43972</v>
      </c>
      <c r="F144" s="4">
        <v>783</v>
      </c>
      <c r="G144" s="4">
        <v>4473</v>
      </c>
      <c r="H144" s="4" t="s">
        <v>159</v>
      </c>
      <c r="I144" s="4"/>
      <c r="J144" s="4" t="s">
        <v>160</v>
      </c>
      <c r="K144" s="4" t="s">
        <v>161</v>
      </c>
      <c r="L144" s="4">
        <v>101.26</v>
      </c>
      <c r="M144" s="4">
        <v>83</v>
      </c>
      <c r="N144" s="5">
        <v>43995</v>
      </c>
      <c r="O144" s="4"/>
      <c r="P144" s="4" t="s">
        <v>32</v>
      </c>
    </row>
    <row r="145" spans="1:16" x14ac:dyDescent="0.25">
      <c r="A145" s="4" t="s">
        <v>17</v>
      </c>
      <c r="B145" s="5">
        <v>43921</v>
      </c>
      <c r="C145" s="4" t="str">
        <f>"20PAS0003531"</f>
        <v>20PAS0003531</v>
      </c>
      <c r="D145" s="4">
        <v>2779753177</v>
      </c>
      <c r="E145" s="5">
        <v>43937</v>
      </c>
      <c r="F145" s="4">
        <v>654</v>
      </c>
      <c r="G145" s="4">
        <v>4524</v>
      </c>
      <c r="H145" s="4" t="s">
        <v>189</v>
      </c>
      <c r="I145" s="4">
        <v>4552920482</v>
      </c>
      <c r="J145" s="4" t="s">
        <v>190</v>
      </c>
      <c r="K145" s="4"/>
      <c r="L145" s="4">
        <v>36.6</v>
      </c>
      <c r="M145" s="4">
        <v>30</v>
      </c>
      <c r="N145" s="5">
        <v>43957</v>
      </c>
      <c r="O145" s="4"/>
      <c r="P145" s="4" t="s">
        <v>188</v>
      </c>
    </row>
    <row r="146" spans="1:16" x14ac:dyDescent="0.25">
      <c r="A146" s="4" t="s">
        <v>17</v>
      </c>
      <c r="B146" s="5">
        <v>43910</v>
      </c>
      <c r="C146" s="4" t="str">
        <f>"0455/2020"</f>
        <v>0455/2020</v>
      </c>
      <c r="D146" s="4">
        <v>2830651091</v>
      </c>
      <c r="E146" s="5">
        <v>43937</v>
      </c>
      <c r="F146" s="4">
        <v>662</v>
      </c>
      <c r="G146" s="4">
        <v>4473</v>
      </c>
      <c r="H146" s="4" t="s">
        <v>159</v>
      </c>
      <c r="I146" s="4"/>
      <c r="J146" s="4" t="s">
        <v>160</v>
      </c>
      <c r="K146" s="4" t="s">
        <v>161</v>
      </c>
      <c r="L146" s="4">
        <v>174.46</v>
      </c>
      <c r="M146" s="4">
        <v>143</v>
      </c>
      <c r="N146" s="5">
        <v>43965</v>
      </c>
      <c r="O146" s="4"/>
      <c r="P146" s="4" t="s">
        <v>43</v>
      </c>
    </row>
    <row r="147" spans="1:16" x14ac:dyDescent="0.25">
      <c r="A147" s="4" t="s">
        <v>17</v>
      </c>
      <c r="B147" s="5">
        <v>43847</v>
      </c>
      <c r="C147" s="4" t="str">
        <f>"0105/2020"</f>
        <v>0105/2020</v>
      </c>
      <c r="D147" s="4">
        <v>2435315194</v>
      </c>
      <c r="E147" s="5">
        <v>43866</v>
      </c>
      <c r="F147" s="4">
        <v>147</v>
      </c>
      <c r="G147" s="4">
        <v>241</v>
      </c>
      <c r="H147" s="4" t="s">
        <v>191</v>
      </c>
      <c r="I147" s="4">
        <v>80012000826</v>
      </c>
      <c r="J147" s="4" t="s">
        <v>160</v>
      </c>
      <c r="K147" s="4" t="s">
        <v>161</v>
      </c>
      <c r="L147" s="4">
        <v>233.02</v>
      </c>
      <c r="M147" s="4">
        <v>191</v>
      </c>
      <c r="N147" s="5">
        <v>43894</v>
      </c>
      <c r="O147" s="4"/>
      <c r="P147" s="4" t="s">
        <v>32</v>
      </c>
    </row>
    <row r="148" spans="1:16" x14ac:dyDescent="0.25">
      <c r="A148" s="4" t="s">
        <v>17</v>
      </c>
      <c r="B148" s="5">
        <v>43830</v>
      </c>
      <c r="C148" s="4" t="str">
        <f>"2019903795"</f>
        <v>2019903795</v>
      </c>
      <c r="D148" s="4">
        <v>2295472344</v>
      </c>
      <c r="E148" s="5">
        <v>43850</v>
      </c>
      <c r="F148" s="4">
        <v>76</v>
      </c>
      <c r="G148" s="4">
        <v>4726</v>
      </c>
      <c r="H148" s="4" t="s">
        <v>192</v>
      </c>
      <c r="I148" s="4"/>
      <c r="J148" s="4" t="s">
        <v>193</v>
      </c>
      <c r="K148" s="4" t="s">
        <v>194</v>
      </c>
      <c r="L148" s="4">
        <v>732</v>
      </c>
      <c r="M148" s="4">
        <v>600</v>
      </c>
      <c r="N148" s="5">
        <v>43869</v>
      </c>
      <c r="O148" s="4"/>
      <c r="P148" s="4" t="s">
        <v>195</v>
      </c>
    </row>
    <row r="149" spans="1:16" x14ac:dyDescent="0.25">
      <c r="A149" s="4" t="s">
        <v>17</v>
      </c>
      <c r="B149" s="5">
        <v>43819</v>
      </c>
      <c r="C149" s="4" t="str">
        <f>"2085/2019"</f>
        <v>2085/2019</v>
      </c>
      <c r="D149" s="4">
        <v>2288772604</v>
      </c>
      <c r="E149" s="5">
        <v>43850</v>
      </c>
      <c r="F149" s="4">
        <v>38</v>
      </c>
      <c r="G149" s="4">
        <v>4473</v>
      </c>
      <c r="H149" s="4" t="s">
        <v>159</v>
      </c>
      <c r="I149" s="4"/>
      <c r="J149" s="4" t="s">
        <v>160</v>
      </c>
      <c r="K149" s="4" t="s">
        <v>161</v>
      </c>
      <c r="L149" s="4">
        <v>233.02</v>
      </c>
      <c r="M149" s="4">
        <v>191</v>
      </c>
      <c r="N149" s="5">
        <v>43868</v>
      </c>
      <c r="O149" s="4"/>
      <c r="P149" s="4" t="s">
        <v>43</v>
      </c>
    </row>
    <row r="150" spans="1:16" x14ac:dyDescent="0.25">
      <c r="A150" s="4" t="s">
        <v>17</v>
      </c>
      <c r="B150" s="5">
        <v>43815</v>
      </c>
      <c r="C150" s="4" t="str">
        <f>"2/87"</f>
        <v>2/87</v>
      </c>
      <c r="D150" s="4">
        <v>2171713840</v>
      </c>
      <c r="E150" s="5">
        <v>43850</v>
      </c>
      <c r="F150" s="4">
        <v>41</v>
      </c>
      <c r="G150" s="4">
        <v>4919</v>
      </c>
      <c r="H150" s="4" t="s">
        <v>103</v>
      </c>
      <c r="I150" s="4">
        <v>4713650820</v>
      </c>
      <c r="J150" s="4" t="s">
        <v>104</v>
      </c>
      <c r="K150" s="4" t="s">
        <v>196</v>
      </c>
      <c r="L150" s="6">
        <v>4401.1000000000004</v>
      </c>
      <c r="M150" s="6">
        <v>4001</v>
      </c>
      <c r="N150" s="5">
        <v>43845</v>
      </c>
      <c r="O150" s="4"/>
      <c r="P150" s="4" t="s">
        <v>20</v>
      </c>
    </row>
    <row r="151" spans="1:16" x14ac:dyDescent="0.25">
      <c r="A151" s="4" t="s">
        <v>17</v>
      </c>
      <c r="B151" s="5">
        <v>43812</v>
      </c>
      <c r="C151" s="4" t="str">
        <f>"7X04767449"</f>
        <v>7X04767449</v>
      </c>
      <c r="D151" s="4">
        <v>2192914879</v>
      </c>
      <c r="E151" s="5">
        <v>43830</v>
      </c>
      <c r="F151" s="4">
        <v>6361</v>
      </c>
      <c r="G151" s="4">
        <v>3564</v>
      </c>
      <c r="H151" s="4" t="s">
        <v>40</v>
      </c>
      <c r="I151" s="4">
        <v>488410010</v>
      </c>
      <c r="J151" s="4" t="s">
        <v>41</v>
      </c>
      <c r="K151" s="4" t="s">
        <v>197</v>
      </c>
      <c r="L151" s="4">
        <v>84.16</v>
      </c>
      <c r="M151" s="4">
        <v>68.98</v>
      </c>
      <c r="N151" s="5">
        <v>43848</v>
      </c>
      <c r="O151" s="4"/>
      <c r="P151" s="4" t="s">
        <v>84</v>
      </c>
    </row>
    <row r="152" spans="1:16" x14ac:dyDescent="0.25">
      <c r="A152" s="4" t="s">
        <v>17</v>
      </c>
      <c r="B152" s="5">
        <v>43769</v>
      </c>
      <c r="C152" s="4" t="str">
        <f>"6820191016001305"</f>
        <v>6820191016001305</v>
      </c>
      <c r="D152" s="4">
        <v>1906041679</v>
      </c>
      <c r="E152" s="5">
        <v>43776</v>
      </c>
      <c r="F152" s="4">
        <v>3796</v>
      </c>
      <c r="G152" s="4">
        <v>3564</v>
      </c>
      <c r="H152" s="4" t="s">
        <v>40</v>
      </c>
      <c r="I152" s="4">
        <v>488410010</v>
      </c>
      <c r="J152" s="4" t="s">
        <v>41</v>
      </c>
      <c r="K152" s="4" t="s">
        <v>198</v>
      </c>
      <c r="L152" s="4">
        <v>292.8</v>
      </c>
      <c r="M152" s="4">
        <v>240</v>
      </c>
      <c r="N152" s="5">
        <v>43805</v>
      </c>
      <c r="O152" s="4"/>
      <c r="P152" s="4" t="s">
        <v>43</v>
      </c>
    </row>
    <row r="153" spans="1:16" x14ac:dyDescent="0.25">
      <c r="A153" s="4" t="s">
        <v>17</v>
      </c>
      <c r="B153" s="5">
        <v>43767</v>
      </c>
      <c r="C153" s="4" t="str">
        <f>"1/2019/386"</f>
        <v>1/2019/386</v>
      </c>
      <c r="D153" s="4">
        <v>1945228688</v>
      </c>
      <c r="E153" s="5">
        <v>43789</v>
      </c>
      <c r="F153" s="4">
        <v>3852</v>
      </c>
      <c r="G153" s="4">
        <v>3896</v>
      </c>
      <c r="H153" s="4" t="s">
        <v>199</v>
      </c>
      <c r="I153" s="4"/>
      <c r="J153" s="4" t="s">
        <v>118</v>
      </c>
      <c r="K153" s="4" t="s">
        <v>200</v>
      </c>
      <c r="L153" s="6">
        <v>6372</v>
      </c>
      <c r="M153" s="6">
        <v>6372</v>
      </c>
      <c r="N153" s="5">
        <v>43810</v>
      </c>
      <c r="O153" s="4"/>
      <c r="P153" s="4" t="s">
        <v>91</v>
      </c>
    </row>
    <row r="154" spans="1:16" x14ac:dyDescent="0.25">
      <c r="A154" s="4" t="s">
        <v>17</v>
      </c>
      <c r="B154" s="5">
        <v>43752</v>
      </c>
      <c r="C154" s="4" t="str">
        <f>"7X03911254"</f>
        <v>7X03911254</v>
      </c>
      <c r="D154" s="4">
        <v>1839585717</v>
      </c>
      <c r="E154" s="5">
        <v>43767</v>
      </c>
      <c r="F154" s="4">
        <v>3726</v>
      </c>
      <c r="G154" s="4">
        <v>3564</v>
      </c>
      <c r="H154" s="4" t="s">
        <v>40</v>
      </c>
      <c r="I154" s="4">
        <v>488410010</v>
      </c>
      <c r="J154" s="4" t="s">
        <v>41</v>
      </c>
      <c r="K154" s="4" t="s">
        <v>201</v>
      </c>
      <c r="L154" s="4">
        <v>84.16</v>
      </c>
      <c r="M154" s="4">
        <v>68.98</v>
      </c>
      <c r="N154" s="5">
        <v>43793</v>
      </c>
      <c r="O154" s="4"/>
      <c r="P154" s="4" t="s">
        <v>84</v>
      </c>
    </row>
    <row r="155" spans="1:16" x14ac:dyDescent="0.25">
      <c r="A155" s="4" t="s">
        <v>17</v>
      </c>
      <c r="B155" s="5">
        <v>43713</v>
      </c>
      <c r="C155" s="4" t="str">
        <f>"1619029246"</f>
        <v>1619029246</v>
      </c>
      <c r="D155" s="4">
        <v>1548131297</v>
      </c>
      <c r="E155" s="5">
        <v>43718</v>
      </c>
      <c r="F155" s="4">
        <v>1436</v>
      </c>
      <c r="G155" s="4">
        <v>4701</v>
      </c>
      <c r="H155" s="4" t="s">
        <v>202</v>
      </c>
      <c r="I155" s="4">
        <v>1336610587</v>
      </c>
      <c r="J155" s="4" t="s">
        <v>203</v>
      </c>
      <c r="K155" s="4" t="s">
        <v>204</v>
      </c>
      <c r="L155" s="4">
        <v>159.44999999999999</v>
      </c>
      <c r="M155" s="4">
        <v>130.69999999999999</v>
      </c>
      <c r="N155" s="5">
        <v>43744</v>
      </c>
      <c r="O155" s="4"/>
      <c r="P155" s="4" t="s">
        <v>188</v>
      </c>
    </row>
    <row r="156" spans="1:16" x14ac:dyDescent="0.25">
      <c r="A156" s="4" t="s">
        <v>17</v>
      </c>
      <c r="B156" s="5">
        <v>43691</v>
      </c>
      <c r="C156" s="4" t="str">
        <f>"7X03177661"</f>
        <v>7X03177661</v>
      </c>
      <c r="D156" s="4">
        <v>1475762588</v>
      </c>
      <c r="E156" s="5">
        <v>43718</v>
      </c>
      <c r="F156" s="4">
        <v>1441</v>
      </c>
      <c r="G156" s="4">
        <v>3564</v>
      </c>
      <c r="H156" s="4" t="s">
        <v>40</v>
      </c>
      <c r="I156" s="4">
        <v>488410010</v>
      </c>
      <c r="J156" s="4" t="s">
        <v>41</v>
      </c>
      <c r="K156" s="4" t="s">
        <v>205</v>
      </c>
      <c r="L156" s="4">
        <v>84.16</v>
      </c>
      <c r="M156" s="4">
        <v>68.98</v>
      </c>
      <c r="N156" s="5">
        <v>43732</v>
      </c>
      <c r="O156" s="4"/>
      <c r="P156" s="4" t="s">
        <v>84</v>
      </c>
    </row>
    <row r="157" spans="1:16" x14ac:dyDescent="0.25">
      <c r="A157" s="4" t="s">
        <v>17</v>
      </c>
      <c r="B157" s="5">
        <v>43630</v>
      </c>
      <c r="C157" s="4" t="str">
        <f>"7X02222687"</f>
        <v>7X02222687</v>
      </c>
      <c r="D157" s="4">
        <v>1094573723</v>
      </c>
      <c r="E157" s="5">
        <v>43640</v>
      </c>
      <c r="F157" s="4">
        <v>970</v>
      </c>
      <c r="G157" s="4">
        <v>3564</v>
      </c>
      <c r="H157" s="4" t="s">
        <v>40</v>
      </c>
      <c r="I157" s="4">
        <v>488410010</v>
      </c>
      <c r="J157" s="4" t="s">
        <v>41</v>
      </c>
      <c r="K157" s="4" t="s">
        <v>206</v>
      </c>
      <c r="L157" s="4">
        <v>84.16</v>
      </c>
      <c r="M157" s="4">
        <v>68.98</v>
      </c>
      <c r="N157" s="5">
        <v>43703</v>
      </c>
      <c r="O157" s="4"/>
      <c r="P157" s="4" t="s">
        <v>84</v>
      </c>
    </row>
    <row r="158" spans="1:16" x14ac:dyDescent="0.25">
      <c r="A158" s="4" t="s">
        <v>17</v>
      </c>
      <c r="B158" s="5">
        <v>43630</v>
      </c>
      <c r="C158" s="4" t="str">
        <f>"1010/2019"</f>
        <v>1010/2019</v>
      </c>
      <c r="D158" s="4">
        <v>1103380678</v>
      </c>
      <c r="E158" s="5">
        <v>43640</v>
      </c>
      <c r="F158" s="4">
        <v>977</v>
      </c>
      <c r="G158" s="4">
        <v>4473</v>
      </c>
      <c r="H158" s="4" t="s">
        <v>159</v>
      </c>
      <c r="I158" s="4"/>
      <c r="J158" s="4" t="s">
        <v>160</v>
      </c>
      <c r="K158" s="4" t="s">
        <v>161</v>
      </c>
      <c r="L158" s="4">
        <v>174.46</v>
      </c>
      <c r="M158" s="4">
        <v>143</v>
      </c>
      <c r="N158" s="5">
        <v>43666</v>
      </c>
      <c r="O158" s="4"/>
      <c r="P158" s="4" t="s">
        <v>32</v>
      </c>
    </row>
    <row r="159" spans="1:16" x14ac:dyDescent="0.25">
      <c r="A159" s="4" t="s">
        <v>17</v>
      </c>
      <c r="B159" s="5">
        <v>43567</v>
      </c>
      <c r="C159" s="4" t="str">
        <f>"FATTPA 1_19"</f>
        <v>FATTPA 1_19</v>
      </c>
      <c r="D159" s="4">
        <v>1337502023</v>
      </c>
      <c r="E159" s="5">
        <v>43686</v>
      </c>
      <c r="F159" s="4">
        <v>1210</v>
      </c>
      <c r="G159" s="4">
        <v>66</v>
      </c>
      <c r="H159" s="4" t="s">
        <v>107</v>
      </c>
      <c r="I159" s="4">
        <v>247990815</v>
      </c>
      <c r="J159" s="4" t="s">
        <v>108</v>
      </c>
      <c r="K159" s="4" t="s">
        <v>207</v>
      </c>
      <c r="L159" s="4">
        <v>155</v>
      </c>
      <c r="M159" s="4">
        <v>140.91</v>
      </c>
      <c r="N159" s="5">
        <v>43705</v>
      </c>
      <c r="O159" s="4"/>
      <c r="P159" s="4" t="s">
        <v>20</v>
      </c>
    </row>
    <row r="160" spans="1:16" x14ac:dyDescent="0.25">
      <c r="A160" s="4" t="s">
        <v>17</v>
      </c>
      <c r="B160" s="5">
        <v>43567</v>
      </c>
      <c r="C160" s="4" t="str">
        <f>"7X01267415"</f>
        <v>7X01267415</v>
      </c>
      <c r="D160" s="4">
        <v>752468012</v>
      </c>
      <c r="E160" s="5">
        <v>43585</v>
      </c>
      <c r="F160" s="4">
        <v>676</v>
      </c>
      <c r="G160" s="4">
        <v>3564</v>
      </c>
      <c r="H160" s="4" t="s">
        <v>40</v>
      </c>
      <c r="I160" s="4">
        <v>488410010</v>
      </c>
      <c r="J160" s="4" t="s">
        <v>41</v>
      </c>
      <c r="K160" s="4" t="s">
        <v>208</v>
      </c>
      <c r="L160" s="4">
        <v>84.16</v>
      </c>
      <c r="M160" s="4">
        <v>68.98</v>
      </c>
      <c r="N160" s="5">
        <v>43640</v>
      </c>
      <c r="O160" s="4"/>
      <c r="P160" s="4" t="s">
        <v>84</v>
      </c>
    </row>
    <row r="161" spans="1:16" x14ac:dyDescent="0.25">
      <c r="A161" s="4" t="s">
        <v>36</v>
      </c>
      <c r="B161" s="5">
        <v>43565</v>
      </c>
      <c r="C161" s="4" t="str">
        <f>"6920190414000638"</f>
        <v>6920190414000638</v>
      </c>
      <c r="D161" s="4">
        <v>699270390</v>
      </c>
      <c r="E161" s="5">
        <v>43571</v>
      </c>
      <c r="F161" s="4">
        <v>589</v>
      </c>
      <c r="G161" s="4">
        <v>3564</v>
      </c>
      <c r="H161" s="4" t="s">
        <v>40</v>
      </c>
      <c r="I161" s="4">
        <v>488410010</v>
      </c>
      <c r="J161" s="4" t="s">
        <v>41</v>
      </c>
      <c r="K161" s="4" t="s">
        <v>209</v>
      </c>
      <c r="L161" s="4">
        <v>-17.329999999999998</v>
      </c>
      <c r="M161" s="4">
        <v>-17.329999999999998</v>
      </c>
      <c r="N161" s="5">
        <v>43597</v>
      </c>
      <c r="O161" s="4"/>
      <c r="P161" s="4" t="s">
        <v>43</v>
      </c>
    </row>
    <row r="162" spans="1:16" x14ac:dyDescent="0.25">
      <c r="A162" s="4" t="s">
        <v>36</v>
      </c>
      <c r="B162" s="5">
        <v>43564</v>
      </c>
      <c r="C162" s="4" t="str">
        <f>"6920190414000578"</f>
        <v>6920190414000578</v>
      </c>
      <c r="D162" s="4">
        <v>699272555</v>
      </c>
      <c r="E162" s="5">
        <v>43571</v>
      </c>
      <c r="F162" s="4">
        <v>590</v>
      </c>
      <c r="G162" s="4">
        <v>3564</v>
      </c>
      <c r="H162" s="4" t="s">
        <v>40</v>
      </c>
      <c r="I162" s="4">
        <v>488410010</v>
      </c>
      <c r="J162" s="4" t="s">
        <v>41</v>
      </c>
      <c r="K162" s="4" t="s">
        <v>209</v>
      </c>
      <c r="L162" s="4">
        <v>-154.13999999999999</v>
      </c>
      <c r="M162" s="4">
        <v>-154.13999999999999</v>
      </c>
      <c r="N162" s="5">
        <v>43597</v>
      </c>
      <c r="O162" s="4"/>
      <c r="P162" s="4" t="s">
        <v>43</v>
      </c>
    </row>
    <row r="163" spans="1:16" x14ac:dyDescent="0.25">
      <c r="A163" s="4" t="s">
        <v>36</v>
      </c>
      <c r="B163" s="5">
        <v>43554</v>
      </c>
      <c r="C163" s="4" t="str">
        <f>"6920190314063614"</f>
        <v>6920190314063614</v>
      </c>
      <c r="D163" s="4">
        <v>624135255</v>
      </c>
      <c r="E163" s="5">
        <v>43559</v>
      </c>
      <c r="F163" s="4">
        <v>452</v>
      </c>
      <c r="G163" s="4">
        <v>3564</v>
      </c>
      <c r="H163" s="4" t="s">
        <v>40</v>
      </c>
      <c r="I163" s="4">
        <v>488410010</v>
      </c>
      <c r="J163" s="4" t="s">
        <v>41</v>
      </c>
      <c r="K163" s="4" t="s">
        <v>209</v>
      </c>
      <c r="L163" s="4">
        <v>-160.16</v>
      </c>
      <c r="M163" s="4">
        <v>-160.16</v>
      </c>
      <c r="N163" s="5">
        <v>43587</v>
      </c>
      <c r="O163" s="4"/>
      <c r="P163" s="4" t="s">
        <v>43</v>
      </c>
    </row>
    <row r="164" spans="1:16" x14ac:dyDescent="0.25">
      <c r="A164" s="4" t="s">
        <v>36</v>
      </c>
      <c r="B164" s="5">
        <v>43554</v>
      </c>
      <c r="C164" s="4" t="str">
        <f>"6920190314063615"</f>
        <v>6920190314063615</v>
      </c>
      <c r="D164" s="4">
        <v>624135167</v>
      </c>
      <c r="E164" s="5">
        <v>43559</v>
      </c>
      <c r="F164" s="4">
        <v>453</v>
      </c>
      <c r="G164" s="4">
        <v>3564</v>
      </c>
      <c r="H164" s="4" t="s">
        <v>40</v>
      </c>
      <c r="I164" s="4">
        <v>488410010</v>
      </c>
      <c r="J164" s="4" t="s">
        <v>41</v>
      </c>
      <c r="K164" s="4" t="s">
        <v>209</v>
      </c>
      <c r="L164" s="4">
        <v>-150.65</v>
      </c>
      <c r="M164" s="4">
        <v>-150.65</v>
      </c>
      <c r="N164" s="5">
        <v>43589</v>
      </c>
      <c r="O164" s="4"/>
      <c r="P164" s="4" t="s">
        <v>43</v>
      </c>
    </row>
    <row r="165" spans="1:16" x14ac:dyDescent="0.25">
      <c r="A165" s="4" t="s">
        <v>36</v>
      </c>
      <c r="B165" s="5">
        <v>43549</v>
      </c>
      <c r="C165" s="4" t="str">
        <f>"6920190314002550"</f>
        <v>6920190314002550</v>
      </c>
      <c r="D165" s="4">
        <v>578407516</v>
      </c>
      <c r="E165" s="5">
        <v>43559</v>
      </c>
      <c r="F165" s="4">
        <v>450</v>
      </c>
      <c r="G165" s="4">
        <v>3564</v>
      </c>
      <c r="H165" s="4" t="s">
        <v>40</v>
      </c>
      <c r="I165" s="4">
        <v>488410010</v>
      </c>
      <c r="J165" s="4" t="s">
        <v>41</v>
      </c>
      <c r="K165" s="4" t="s">
        <v>210</v>
      </c>
      <c r="L165" s="4">
        <v>-127.03</v>
      </c>
      <c r="M165" s="4">
        <v>-127.03</v>
      </c>
      <c r="N165" s="5">
        <v>43580</v>
      </c>
      <c r="O165" s="4"/>
      <c r="P165" s="4" t="s">
        <v>43</v>
      </c>
    </row>
    <row r="166" spans="1:16" x14ac:dyDescent="0.25">
      <c r="A166" s="4" t="s">
        <v>36</v>
      </c>
      <c r="B166" s="5">
        <v>43549</v>
      </c>
      <c r="C166" s="4" t="str">
        <f>"6920190314002557"</f>
        <v>6920190314002557</v>
      </c>
      <c r="D166" s="4">
        <v>578408149</v>
      </c>
      <c r="E166" s="5">
        <v>43559</v>
      </c>
      <c r="F166" s="4">
        <v>451</v>
      </c>
      <c r="G166" s="4">
        <v>3564</v>
      </c>
      <c r="H166" s="4" t="s">
        <v>40</v>
      </c>
      <c r="I166" s="4">
        <v>488410010</v>
      </c>
      <c r="J166" s="4" t="s">
        <v>41</v>
      </c>
      <c r="K166" s="4" t="s">
        <v>210</v>
      </c>
      <c r="L166" s="4">
        <v>-138.91999999999999</v>
      </c>
      <c r="M166" s="4">
        <v>-138.91999999999999</v>
      </c>
      <c r="N166" s="5">
        <v>43580</v>
      </c>
      <c r="O166" s="4"/>
      <c r="P166" s="4" t="s">
        <v>43</v>
      </c>
    </row>
    <row r="167" spans="1:16" x14ac:dyDescent="0.25">
      <c r="A167" s="4" t="s">
        <v>17</v>
      </c>
      <c r="B167" s="5">
        <v>43544</v>
      </c>
      <c r="C167" s="4" t="str">
        <f>"6820190316001315"</f>
        <v>6820190316001315</v>
      </c>
      <c r="D167" s="4">
        <v>559910206</v>
      </c>
      <c r="E167" s="5">
        <v>43549</v>
      </c>
      <c r="F167" s="4">
        <v>427</v>
      </c>
      <c r="G167" s="4">
        <v>3564</v>
      </c>
      <c r="H167" s="4" t="s">
        <v>40</v>
      </c>
      <c r="I167" s="4">
        <v>488410010</v>
      </c>
      <c r="J167" s="4" t="s">
        <v>41</v>
      </c>
      <c r="K167" s="4" t="s">
        <v>211</v>
      </c>
      <c r="L167" s="4">
        <v>292.8</v>
      </c>
      <c r="M167" s="4">
        <v>240</v>
      </c>
      <c r="N167" s="5">
        <v>43575</v>
      </c>
      <c r="O167" s="4"/>
      <c r="P167" s="4" t="s">
        <v>32</v>
      </c>
    </row>
    <row r="168" spans="1:16" x14ac:dyDescent="0.25">
      <c r="A168" s="4" t="s">
        <v>17</v>
      </c>
      <c r="B168" s="5">
        <v>43538</v>
      </c>
      <c r="C168" s="4" t="str">
        <f>"6820190316000821"</f>
        <v>6820190316000821</v>
      </c>
      <c r="D168" s="4">
        <v>532574640</v>
      </c>
      <c r="E168" s="5">
        <v>43542</v>
      </c>
      <c r="F168" s="4">
        <v>405</v>
      </c>
      <c r="G168" s="4">
        <v>3564</v>
      </c>
      <c r="H168" s="4" t="s">
        <v>40</v>
      </c>
      <c r="I168" s="4">
        <v>488410010</v>
      </c>
      <c r="J168" s="4" t="s">
        <v>41</v>
      </c>
      <c r="K168" s="4" t="s">
        <v>211</v>
      </c>
      <c r="L168" s="4">
        <v>292.8</v>
      </c>
      <c r="M168" s="4">
        <v>240</v>
      </c>
      <c r="N168" s="5">
        <v>43569</v>
      </c>
      <c r="O168" s="4"/>
      <c r="P168" s="4" t="s">
        <v>32</v>
      </c>
    </row>
    <row r="169" spans="1:16" x14ac:dyDescent="0.25">
      <c r="A169" s="4" t="s">
        <v>36</v>
      </c>
      <c r="B169" s="5">
        <v>43536</v>
      </c>
      <c r="C169" s="4" t="str">
        <f>"6920190314001060"</f>
        <v>6920190314001060</v>
      </c>
      <c r="D169" s="4">
        <v>525726650</v>
      </c>
      <c r="E169" s="5">
        <v>43542</v>
      </c>
      <c r="F169" s="4">
        <v>397</v>
      </c>
      <c r="G169" s="4">
        <v>3564</v>
      </c>
      <c r="H169" s="4" t="s">
        <v>40</v>
      </c>
      <c r="I169" s="4">
        <v>488410010</v>
      </c>
      <c r="J169" s="4" t="s">
        <v>41</v>
      </c>
      <c r="K169" s="4" t="s">
        <v>209</v>
      </c>
      <c r="L169" s="4">
        <v>-156.37</v>
      </c>
      <c r="M169" s="4">
        <v>-156.37</v>
      </c>
      <c r="N169" s="5">
        <v>43569</v>
      </c>
      <c r="O169" s="4"/>
      <c r="P169" s="4" t="s">
        <v>43</v>
      </c>
    </row>
    <row r="170" spans="1:16" x14ac:dyDescent="0.25">
      <c r="A170" s="4" t="s">
        <v>36</v>
      </c>
      <c r="B170" s="5">
        <v>43532</v>
      </c>
      <c r="C170" s="4" t="str">
        <f>"VL19000534"</f>
        <v>VL19000534</v>
      </c>
      <c r="D170" s="4">
        <v>482290548</v>
      </c>
      <c r="E170" s="5">
        <v>43537</v>
      </c>
      <c r="F170" s="4">
        <v>379</v>
      </c>
      <c r="G170" s="4">
        <v>2320</v>
      </c>
      <c r="H170" s="4" t="s">
        <v>110</v>
      </c>
      <c r="I170" s="4">
        <v>5892970152</v>
      </c>
      <c r="J170" s="4" t="s">
        <v>111</v>
      </c>
      <c r="K170" s="4" t="s">
        <v>212</v>
      </c>
      <c r="L170" s="6">
        <v>-3553.18</v>
      </c>
      <c r="M170" s="6">
        <v>-3416.52</v>
      </c>
      <c r="N170" s="5">
        <v>43563</v>
      </c>
      <c r="O170" s="4"/>
      <c r="P170" s="4" t="s">
        <v>32</v>
      </c>
    </row>
    <row r="171" spans="1:16" x14ac:dyDescent="0.25">
      <c r="A171" s="4" t="s">
        <v>17</v>
      </c>
      <c r="B171" s="5">
        <v>43510</v>
      </c>
      <c r="C171" s="4" t="str">
        <f>"7X00397842"</f>
        <v>7X00397842</v>
      </c>
      <c r="D171" s="4">
        <v>400578060</v>
      </c>
      <c r="E171" s="5">
        <v>43521</v>
      </c>
      <c r="F171" s="4">
        <v>340</v>
      </c>
      <c r="G171" s="4">
        <v>3564</v>
      </c>
      <c r="H171" s="4" t="s">
        <v>40</v>
      </c>
      <c r="I171" s="4">
        <v>488410010</v>
      </c>
      <c r="J171" s="4" t="s">
        <v>41</v>
      </c>
      <c r="K171" s="4" t="s">
        <v>213</v>
      </c>
      <c r="L171" s="4">
        <v>84.16</v>
      </c>
      <c r="M171" s="4">
        <v>68.98</v>
      </c>
      <c r="N171" s="5">
        <v>43581</v>
      </c>
      <c r="O171" s="4"/>
      <c r="P171" s="4" t="s">
        <v>84</v>
      </c>
    </row>
    <row r="172" spans="1:16" x14ac:dyDescent="0.25">
      <c r="A172" s="4" t="s">
        <v>17</v>
      </c>
      <c r="B172" s="5">
        <v>43510</v>
      </c>
      <c r="C172" s="4" t="str">
        <f>"FP19039254"</f>
        <v>FP19039254</v>
      </c>
      <c r="D172" s="4">
        <v>400493995</v>
      </c>
      <c r="E172" s="5">
        <v>43523</v>
      </c>
      <c r="F172" s="4">
        <v>344</v>
      </c>
      <c r="G172" s="4">
        <v>3564</v>
      </c>
      <c r="H172" s="4" t="s">
        <v>40</v>
      </c>
      <c r="I172" s="4">
        <v>488410010</v>
      </c>
      <c r="J172" s="4" t="s">
        <v>41</v>
      </c>
      <c r="K172" s="4" t="s">
        <v>213</v>
      </c>
      <c r="L172" s="4">
        <v>25</v>
      </c>
      <c r="M172" s="4">
        <v>20.49</v>
      </c>
      <c r="N172" s="5">
        <v>43549</v>
      </c>
      <c r="O172" s="4"/>
      <c r="P172" s="4" t="s">
        <v>84</v>
      </c>
    </row>
    <row r="173" spans="1:16" x14ac:dyDescent="0.25">
      <c r="A173" s="4" t="s">
        <v>36</v>
      </c>
      <c r="B173" s="5">
        <v>43502</v>
      </c>
      <c r="C173" s="4" t="str">
        <f>"8V00064832"</f>
        <v>8V00064832</v>
      </c>
      <c r="D173" s="4">
        <v>385639583</v>
      </c>
      <c r="E173" s="5">
        <v>43521</v>
      </c>
      <c r="F173" s="4">
        <v>338</v>
      </c>
      <c r="G173" s="4">
        <v>3564</v>
      </c>
      <c r="H173" s="4" t="s">
        <v>40</v>
      </c>
      <c r="I173" s="4">
        <v>488410010</v>
      </c>
      <c r="J173" s="4" t="s">
        <v>41</v>
      </c>
      <c r="K173" s="4" t="s">
        <v>213</v>
      </c>
      <c r="L173" s="4">
        <v>-164.75</v>
      </c>
      <c r="M173" s="4">
        <v>-135.04</v>
      </c>
      <c r="N173" s="5">
        <v>43546</v>
      </c>
      <c r="O173" s="4"/>
      <c r="P173" s="4" t="s">
        <v>84</v>
      </c>
    </row>
    <row r="174" spans="1:16" x14ac:dyDescent="0.25">
      <c r="A174" s="4" t="s">
        <v>36</v>
      </c>
      <c r="B174" s="5">
        <v>43502</v>
      </c>
      <c r="C174" s="4" t="str">
        <f>"8V00068677"</f>
        <v>8V00068677</v>
      </c>
      <c r="D174" s="4">
        <v>384996915</v>
      </c>
      <c r="E174" s="5">
        <v>43521</v>
      </c>
      <c r="F174" s="4">
        <v>337</v>
      </c>
      <c r="G174" s="4">
        <v>3564</v>
      </c>
      <c r="H174" s="4" t="s">
        <v>40</v>
      </c>
      <c r="I174" s="4">
        <v>488410010</v>
      </c>
      <c r="J174" s="4" t="s">
        <v>41</v>
      </c>
      <c r="K174" s="4" t="s">
        <v>213</v>
      </c>
      <c r="L174" s="4">
        <v>-290.86</v>
      </c>
      <c r="M174" s="4">
        <v>-257.04000000000002</v>
      </c>
      <c r="N174" s="5">
        <v>43547</v>
      </c>
      <c r="O174" s="4"/>
      <c r="P174" s="4" t="s">
        <v>84</v>
      </c>
    </row>
    <row r="175" spans="1:16" x14ac:dyDescent="0.25">
      <c r="A175" s="4" t="s">
        <v>17</v>
      </c>
      <c r="B175" s="5">
        <v>43490</v>
      </c>
      <c r="C175" s="4" t="str">
        <f>"0140/2019"</f>
        <v>0140/2019</v>
      </c>
      <c r="D175" s="4">
        <v>474505441</v>
      </c>
      <c r="E175" s="5">
        <v>43538</v>
      </c>
      <c r="F175" s="4">
        <v>386</v>
      </c>
      <c r="G175" s="4">
        <v>4473</v>
      </c>
      <c r="H175" s="4" t="s">
        <v>159</v>
      </c>
      <c r="I175" s="4"/>
      <c r="J175" s="4" t="s">
        <v>160</v>
      </c>
      <c r="K175" s="4" t="s">
        <v>161</v>
      </c>
      <c r="L175" s="4">
        <v>218.38</v>
      </c>
      <c r="M175" s="4">
        <v>179</v>
      </c>
      <c r="N175" s="5">
        <v>43561</v>
      </c>
      <c r="O175" s="4"/>
      <c r="P175" s="4" t="s">
        <v>43</v>
      </c>
    </row>
    <row r="176" spans="1:16" x14ac:dyDescent="0.25">
      <c r="A176" s="4" t="s">
        <v>17</v>
      </c>
      <c r="B176" s="5">
        <v>43482</v>
      </c>
      <c r="C176" s="4" t="str">
        <f>"FATTPA 3_19"</f>
        <v>FATTPA 3_19</v>
      </c>
      <c r="D176" s="4">
        <v>180438586</v>
      </c>
      <c r="E176" s="5">
        <v>43500</v>
      </c>
      <c r="F176" s="4">
        <v>107</v>
      </c>
      <c r="G176" s="4">
        <v>4923</v>
      </c>
      <c r="H176" s="4" t="s">
        <v>214</v>
      </c>
      <c r="I176" s="4">
        <v>2379180819</v>
      </c>
      <c r="J176" s="4" t="s">
        <v>215</v>
      </c>
      <c r="K176" s="4" t="s">
        <v>216</v>
      </c>
      <c r="L176" s="6">
        <v>1556.96</v>
      </c>
      <c r="M176" s="6">
        <v>1276.2</v>
      </c>
      <c r="N176" s="5">
        <v>43482</v>
      </c>
      <c r="O176" s="4"/>
      <c r="P176" s="4" t="s">
        <v>20</v>
      </c>
    </row>
    <row r="177" spans="1:16" x14ac:dyDescent="0.25">
      <c r="A177" s="4" t="s">
        <v>17</v>
      </c>
      <c r="B177" s="5">
        <v>43465</v>
      </c>
      <c r="C177" s="4" t="str">
        <f>"FATTPA 55_18"</f>
        <v>FATTPA 55_18</v>
      </c>
      <c r="D177" s="4">
        <v>156700511</v>
      </c>
      <c r="E177" s="5">
        <v>43494</v>
      </c>
      <c r="F177" s="4">
        <v>58</v>
      </c>
      <c r="G177" s="4">
        <v>66</v>
      </c>
      <c r="H177" s="4" t="s">
        <v>107</v>
      </c>
      <c r="I177" s="4">
        <v>247990815</v>
      </c>
      <c r="J177" s="4" t="s">
        <v>108</v>
      </c>
      <c r="K177" s="4"/>
      <c r="L177" s="6">
        <v>1206.49</v>
      </c>
      <c r="M177" s="6">
        <v>1096.81</v>
      </c>
      <c r="N177" s="5">
        <v>43495</v>
      </c>
      <c r="O177" s="4"/>
      <c r="P177" s="4" t="s">
        <v>32</v>
      </c>
    </row>
    <row r="178" spans="1:16" x14ac:dyDescent="0.25">
      <c r="A178" s="4" t="s">
        <v>17</v>
      </c>
      <c r="B178" s="5">
        <v>43465</v>
      </c>
      <c r="C178" s="4" t="str">
        <f>"FATTPA 57_18"</f>
        <v>FATTPA 57_18</v>
      </c>
      <c r="D178" s="4">
        <v>156722144</v>
      </c>
      <c r="E178" s="5">
        <v>43496</v>
      </c>
      <c r="F178" s="4">
        <v>63</v>
      </c>
      <c r="G178" s="4">
        <v>66</v>
      </c>
      <c r="H178" s="4" t="s">
        <v>107</v>
      </c>
      <c r="I178" s="4">
        <v>247990815</v>
      </c>
      <c r="J178" s="4" t="s">
        <v>108</v>
      </c>
      <c r="K178" s="4"/>
      <c r="L178" s="4">
        <v>230.66</v>
      </c>
      <c r="M178" s="4">
        <v>209.69</v>
      </c>
      <c r="N178" s="5">
        <v>43496</v>
      </c>
      <c r="O178" s="4"/>
      <c r="P178" s="4" t="s">
        <v>32</v>
      </c>
    </row>
    <row r="179" spans="1:16" x14ac:dyDescent="0.25">
      <c r="A179" s="4" t="s">
        <v>17</v>
      </c>
      <c r="B179" s="5">
        <v>43465</v>
      </c>
      <c r="C179" s="4" t="str">
        <f>"1/2018/520"</f>
        <v>1/2018/520</v>
      </c>
      <c r="D179" s="4">
        <v>1224752201</v>
      </c>
      <c r="E179" s="5">
        <v>43664</v>
      </c>
      <c r="F179" s="4">
        <v>1085</v>
      </c>
      <c r="G179" s="4">
        <v>3896</v>
      </c>
      <c r="H179" s="4" t="s">
        <v>199</v>
      </c>
      <c r="I179" s="4"/>
      <c r="J179" s="4" t="s">
        <v>118</v>
      </c>
      <c r="K179" s="4" t="s">
        <v>217</v>
      </c>
      <c r="L179" s="6">
        <v>1539.9</v>
      </c>
      <c r="M179" s="6">
        <v>1539.9</v>
      </c>
      <c r="N179" s="5">
        <v>43465</v>
      </c>
      <c r="O179" s="4"/>
      <c r="P179" s="4" t="s">
        <v>91</v>
      </c>
    </row>
    <row r="180" spans="1:16" x14ac:dyDescent="0.25">
      <c r="A180" s="4" t="s">
        <v>17</v>
      </c>
      <c r="B180" s="5">
        <v>43462</v>
      </c>
      <c r="C180" s="4" t="str">
        <f>"000013-2018-FE"</f>
        <v>000013-2018-FE</v>
      </c>
      <c r="D180" s="4">
        <v>136897427</v>
      </c>
      <c r="E180" s="5">
        <v>43465</v>
      </c>
      <c r="F180" s="4">
        <v>2016</v>
      </c>
      <c r="G180" s="4">
        <v>170</v>
      </c>
      <c r="H180" s="4" t="s">
        <v>218</v>
      </c>
      <c r="I180" s="4" t="s">
        <v>219</v>
      </c>
      <c r="J180" s="4" t="s">
        <v>220</v>
      </c>
      <c r="K180" s="4" t="s">
        <v>221</v>
      </c>
      <c r="L180" s="4">
        <v>183.36</v>
      </c>
      <c r="M180" s="4">
        <v>183.36</v>
      </c>
      <c r="N180" s="5">
        <v>43492</v>
      </c>
      <c r="O180" s="4"/>
      <c r="P180" s="4" t="s">
        <v>32</v>
      </c>
    </row>
    <row r="181" spans="1:16" x14ac:dyDescent="0.25">
      <c r="A181" s="4" t="s">
        <v>17</v>
      </c>
      <c r="B181" s="5">
        <v>43448</v>
      </c>
      <c r="C181" s="4" t="str">
        <f>"7X05112699"</f>
        <v>7X05112699</v>
      </c>
      <c r="D181" s="4">
        <v>136110553</v>
      </c>
      <c r="E181" s="5">
        <v>43465</v>
      </c>
      <c r="F181" s="4">
        <v>2022</v>
      </c>
      <c r="G181" s="4">
        <v>3564</v>
      </c>
      <c r="H181" s="4" t="s">
        <v>40</v>
      </c>
      <c r="I181" s="4">
        <v>488410010</v>
      </c>
      <c r="J181" s="4" t="s">
        <v>41</v>
      </c>
      <c r="K181" s="4" t="s">
        <v>222</v>
      </c>
      <c r="L181" s="4">
        <v>84.16</v>
      </c>
      <c r="M181" s="4">
        <v>68.98</v>
      </c>
      <c r="N181" s="5">
        <v>43521</v>
      </c>
      <c r="O181" s="4"/>
      <c r="P181" s="4" t="s">
        <v>84</v>
      </c>
    </row>
    <row r="182" spans="1:16" x14ac:dyDescent="0.25">
      <c r="A182" s="4" t="s">
        <v>17</v>
      </c>
      <c r="B182" s="5">
        <v>43440</v>
      </c>
      <c r="C182" s="4" t="str">
        <f>"8V00581170"</f>
        <v>8V00581170</v>
      </c>
      <c r="D182" s="4">
        <v>135203997</v>
      </c>
      <c r="E182" s="5">
        <v>43465</v>
      </c>
      <c r="F182" s="4">
        <v>2020</v>
      </c>
      <c r="G182" s="4">
        <v>3564</v>
      </c>
      <c r="H182" s="4" t="s">
        <v>40</v>
      </c>
      <c r="I182" s="4">
        <v>488410010</v>
      </c>
      <c r="J182" s="4" t="s">
        <v>41</v>
      </c>
      <c r="K182" s="4" t="s">
        <v>222</v>
      </c>
      <c r="L182" s="4">
        <v>118.1</v>
      </c>
      <c r="M182" s="4">
        <v>96.8</v>
      </c>
      <c r="N182" s="5">
        <v>43526</v>
      </c>
      <c r="O182" s="4"/>
      <c r="P182" s="4" t="s">
        <v>84</v>
      </c>
    </row>
    <row r="183" spans="1:16" x14ac:dyDescent="0.25">
      <c r="A183" s="4" t="s">
        <v>17</v>
      </c>
      <c r="B183" s="5">
        <v>43440</v>
      </c>
      <c r="C183" s="4" t="str">
        <f>"8V00584556"</f>
        <v>8V00584556</v>
      </c>
      <c r="D183" s="4">
        <v>136040481</v>
      </c>
      <c r="E183" s="5">
        <v>43465</v>
      </c>
      <c r="F183" s="4">
        <v>2039</v>
      </c>
      <c r="G183" s="4">
        <v>3564</v>
      </c>
      <c r="H183" s="4" t="s">
        <v>40</v>
      </c>
      <c r="I183" s="4">
        <v>488410010</v>
      </c>
      <c r="J183" s="4" t="s">
        <v>41</v>
      </c>
      <c r="K183" s="4" t="s">
        <v>222</v>
      </c>
      <c r="L183" s="4">
        <v>130.30000000000001</v>
      </c>
      <c r="M183" s="4">
        <v>106.8</v>
      </c>
      <c r="N183" s="5">
        <v>43526</v>
      </c>
      <c r="O183" s="4"/>
      <c r="P183" s="4" t="s">
        <v>84</v>
      </c>
    </row>
    <row r="184" spans="1:16" x14ac:dyDescent="0.25">
      <c r="A184" s="4" t="s">
        <v>17</v>
      </c>
      <c r="B184" s="5">
        <v>43438</v>
      </c>
      <c r="C184" s="4" t="str">
        <f>"000012-2018-FE"</f>
        <v>000012-2018-FE</v>
      </c>
      <c r="D184" s="4">
        <v>131071999</v>
      </c>
      <c r="E184" s="5">
        <v>43446</v>
      </c>
      <c r="F184" s="4">
        <v>1888</v>
      </c>
      <c r="G184" s="4">
        <v>170</v>
      </c>
      <c r="H184" s="4" t="s">
        <v>218</v>
      </c>
      <c r="I184" s="4" t="s">
        <v>219</v>
      </c>
      <c r="J184" s="4" t="s">
        <v>220</v>
      </c>
      <c r="K184" s="4" t="s">
        <v>221</v>
      </c>
      <c r="L184" s="4">
        <v>916.8</v>
      </c>
      <c r="M184" s="4">
        <v>916.8</v>
      </c>
      <c r="N184" s="5">
        <v>43470</v>
      </c>
      <c r="O184" s="4"/>
      <c r="P184" s="4" t="s">
        <v>32</v>
      </c>
    </row>
    <row r="185" spans="1:16" x14ac:dyDescent="0.25">
      <c r="A185" s="4" t="s">
        <v>17</v>
      </c>
      <c r="B185" s="5">
        <v>43426</v>
      </c>
      <c r="C185" s="4" t="str">
        <f>"062/18"</f>
        <v>062/18</v>
      </c>
      <c r="D185" s="4">
        <v>129309685</v>
      </c>
      <c r="E185" s="5">
        <v>43462</v>
      </c>
      <c r="F185" s="4">
        <v>2013</v>
      </c>
      <c r="G185" s="4">
        <v>4692</v>
      </c>
      <c r="H185" s="4" t="s">
        <v>141</v>
      </c>
      <c r="I185" s="4"/>
      <c r="J185" s="4" t="s">
        <v>142</v>
      </c>
      <c r="K185" s="4" t="s">
        <v>223</v>
      </c>
      <c r="L185" s="4">
        <v>88.77</v>
      </c>
      <c r="M185" s="4">
        <v>88.77</v>
      </c>
      <c r="N185" s="5">
        <v>43457</v>
      </c>
      <c r="O185" s="4"/>
      <c r="P185" s="4" t="s">
        <v>20</v>
      </c>
    </row>
    <row r="186" spans="1:16" x14ac:dyDescent="0.25">
      <c r="A186" s="4" t="s">
        <v>17</v>
      </c>
      <c r="B186" s="5">
        <v>43412</v>
      </c>
      <c r="C186" s="4" t="str">
        <f>"000011-2018-FE"</f>
        <v>000011-2018-FE</v>
      </c>
      <c r="D186" s="4">
        <v>126795927</v>
      </c>
      <c r="E186" s="5">
        <v>43417</v>
      </c>
      <c r="F186" s="4">
        <v>1699</v>
      </c>
      <c r="G186" s="4">
        <v>170</v>
      </c>
      <c r="H186" s="4" t="s">
        <v>218</v>
      </c>
      <c r="I186" s="4" t="s">
        <v>219</v>
      </c>
      <c r="J186" s="4" t="s">
        <v>220</v>
      </c>
      <c r="K186" s="4" t="s">
        <v>221</v>
      </c>
      <c r="L186" s="4">
        <v>947.36</v>
      </c>
      <c r="M186" s="4">
        <v>947.36</v>
      </c>
      <c r="N186" s="4"/>
      <c r="O186" s="4"/>
      <c r="P186" s="4" t="s">
        <v>32</v>
      </c>
    </row>
    <row r="187" spans="1:16" x14ac:dyDescent="0.25">
      <c r="A187" s="4" t="s">
        <v>17</v>
      </c>
      <c r="B187" s="5">
        <v>43385</v>
      </c>
      <c r="C187" s="4" t="str">
        <f>"7X04109995"</f>
        <v>7X04109995</v>
      </c>
      <c r="D187" s="4">
        <v>124373464</v>
      </c>
      <c r="E187" s="5">
        <v>43396</v>
      </c>
      <c r="F187" s="4">
        <v>1636</v>
      </c>
      <c r="G187" s="4">
        <v>3564</v>
      </c>
      <c r="H187" s="4" t="s">
        <v>40</v>
      </c>
      <c r="I187" s="4">
        <v>488410010</v>
      </c>
      <c r="J187" s="4" t="s">
        <v>41</v>
      </c>
      <c r="K187" s="4" t="s">
        <v>224</v>
      </c>
      <c r="L187" s="4">
        <v>84.16</v>
      </c>
      <c r="M187" s="4">
        <v>68.98</v>
      </c>
      <c r="N187" s="5">
        <v>43461</v>
      </c>
      <c r="O187" s="4"/>
      <c r="P187" s="4" t="s">
        <v>84</v>
      </c>
    </row>
    <row r="188" spans="1:16" x14ac:dyDescent="0.25">
      <c r="A188" s="4" t="s">
        <v>17</v>
      </c>
      <c r="B188" s="5">
        <v>43383</v>
      </c>
      <c r="C188" s="4" t="str">
        <f>"000010-2018-FE"</f>
        <v>000010-2018-FE</v>
      </c>
      <c r="D188" s="4">
        <v>122467694</v>
      </c>
      <c r="E188" s="5">
        <v>43385</v>
      </c>
      <c r="F188" s="4">
        <v>1584</v>
      </c>
      <c r="G188" s="4">
        <v>170</v>
      </c>
      <c r="H188" s="4" t="s">
        <v>218</v>
      </c>
      <c r="I188" s="4" t="s">
        <v>219</v>
      </c>
      <c r="J188" s="4" t="s">
        <v>220</v>
      </c>
      <c r="K188" s="4" t="s">
        <v>221</v>
      </c>
      <c r="L188" s="4">
        <v>916.8</v>
      </c>
      <c r="M188" s="4">
        <v>916.8</v>
      </c>
      <c r="N188" s="4"/>
      <c r="O188" s="4"/>
      <c r="P188" s="4" t="s">
        <v>32</v>
      </c>
    </row>
    <row r="189" spans="1:16" x14ac:dyDescent="0.25">
      <c r="A189" s="4" t="s">
        <v>17</v>
      </c>
      <c r="B189" s="5">
        <v>43368</v>
      </c>
      <c r="C189" s="4" t="str">
        <f>"6820180916001335"</f>
        <v>6820180916001335</v>
      </c>
      <c r="D189" s="4">
        <v>120475067</v>
      </c>
      <c r="E189" s="5">
        <v>43382</v>
      </c>
      <c r="F189" s="4">
        <v>1538</v>
      </c>
      <c r="G189" s="4">
        <v>3564</v>
      </c>
      <c r="H189" s="4" t="s">
        <v>40</v>
      </c>
      <c r="I189" s="4">
        <v>488410010</v>
      </c>
      <c r="J189" s="4" t="s">
        <v>41</v>
      </c>
      <c r="K189" s="4" t="s">
        <v>225</v>
      </c>
      <c r="L189" s="6">
        <v>1515.25</v>
      </c>
      <c r="M189" s="6">
        <v>1242.01</v>
      </c>
      <c r="N189" s="4"/>
      <c r="O189" s="4"/>
      <c r="P189" s="4" t="s">
        <v>43</v>
      </c>
    </row>
    <row r="190" spans="1:16" x14ac:dyDescent="0.25">
      <c r="A190" s="4" t="s">
        <v>17</v>
      </c>
      <c r="B190" s="5">
        <v>43368</v>
      </c>
      <c r="C190" s="4" t="str">
        <f>"6820180916001336"</f>
        <v>6820180916001336</v>
      </c>
      <c r="D190" s="4">
        <v>120475076</v>
      </c>
      <c r="E190" s="5">
        <v>43382</v>
      </c>
      <c r="F190" s="4">
        <v>1539</v>
      </c>
      <c r="G190" s="4">
        <v>3564</v>
      </c>
      <c r="H190" s="4" t="s">
        <v>40</v>
      </c>
      <c r="I190" s="4">
        <v>488410010</v>
      </c>
      <c r="J190" s="4" t="s">
        <v>41</v>
      </c>
      <c r="K190" s="4" t="s">
        <v>225</v>
      </c>
      <c r="L190" s="6">
        <v>14939.64</v>
      </c>
      <c r="M190" s="6">
        <v>12245.61</v>
      </c>
      <c r="N190" s="5">
        <v>43398</v>
      </c>
      <c r="O190" s="4"/>
      <c r="P190" s="4" t="s">
        <v>43</v>
      </c>
    </row>
    <row r="191" spans="1:16" x14ac:dyDescent="0.25">
      <c r="A191" s="4" t="s">
        <v>17</v>
      </c>
      <c r="B191" s="5">
        <v>43361</v>
      </c>
      <c r="C191" s="4" t="str">
        <f>"31/PA"</f>
        <v>31/PA</v>
      </c>
      <c r="D191" s="4">
        <v>119369078</v>
      </c>
      <c r="E191" s="5">
        <v>43370</v>
      </c>
      <c r="F191" s="4">
        <v>1447</v>
      </c>
      <c r="G191" s="4">
        <v>4842</v>
      </c>
      <c r="H191" s="4" t="s">
        <v>226</v>
      </c>
      <c r="I191" s="4">
        <v>5548120822</v>
      </c>
      <c r="J191" s="4" t="s">
        <v>227</v>
      </c>
      <c r="K191" s="4" t="s">
        <v>228</v>
      </c>
      <c r="L191" s="6">
        <v>2439.3200000000002</v>
      </c>
      <c r="M191" s="6">
        <v>2323.16</v>
      </c>
      <c r="N191" s="5">
        <v>43404</v>
      </c>
      <c r="O191" s="4"/>
      <c r="P191" s="4" t="s">
        <v>32</v>
      </c>
    </row>
    <row r="192" spans="1:16" x14ac:dyDescent="0.25">
      <c r="A192" s="4" t="s">
        <v>17</v>
      </c>
      <c r="B192" s="5">
        <v>43332</v>
      </c>
      <c r="C192" s="4" t="str">
        <f>"2V18003399"</f>
        <v>2V18003399</v>
      </c>
      <c r="D192" s="4">
        <v>115396108</v>
      </c>
      <c r="E192" s="5">
        <v>43349</v>
      </c>
      <c r="F192" s="4">
        <v>1322</v>
      </c>
      <c r="G192" s="4">
        <v>3564</v>
      </c>
      <c r="H192" s="4" t="s">
        <v>40</v>
      </c>
      <c r="I192" s="4">
        <v>488410010</v>
      </c>
      <c r="J192" s="4" t="s">
        <v>41</v>
      </c>
      <c r="K192" s="7">
        <v>43313</v>
      </c>
      <c r="L192" s="4">
        <v>12.82</v>
      </c>
      <c r="M192" s="4">
        <v>10.51</v>
      </c>
      <c r="N192" s="5">
        <v>43403</v>
      </c>
      <c r="O192" s="4"/>
      <c r="P192" s="4" t="s">
        <v>43</v>
      </c>
    </row>
    <row r="193" spans="1:16" x14ac:dyDescent="0.25">
      <c r="A193" s="4" t="s">
        <v>17</v>
      </c>
      <c r="B193" s="5">
        <v>43306</v>
      </c>
      <c r="C193" s="4" t="str">
        <f>"1"</f>
        <v>1</v>
      </c>
      <c r="D193" s="4">
        <v>111768340</v>
      </c>
      <c r="E193" s="5">
        <v>43325</v>
      </c>
      <c r="F193" s="4">
        <v>1013</v>
      </c>
      <c r="G193" s="4">
        <v>4932</v>
      </c>
      <c r="H193" s="4" t="s">
        <v>229</v>
      </c>
      <c r="I193" s="4">
        <v>1351820814</v>
      </c>
      <c r="J193" s="4" t="s">
        <v>230</v>
      </c>
      <c r="K193" s="4" t="s">
        <v>231</v>
      </c>
      <c r="L193" s="4">
        <v>962.05</v>
      </c>
      <c r="M193" s="4">
        <v>916.24</v>
      </c>
      <c r="N193" s="5">
        <v>43350</v>
      </c>
      <c r="O193" s="4"/>
      <c r="P193" s="4" t="s">
        <v>188</v>
      </c>
    </row>
    <row r="194" spans="1:16" x14ac:dyDescent="0.25">
      <c r="A194" s="4" t="s">
        <v>17</v>
      </c>
      <c r="B194" s="5">
        <v>43281</v>
      </c>
      <c r="C194" s="4" t="str">
        <f>"188/2018"</f>
        <v>188/2018</v>
      </c>
      <c r="D194" s="4">
        <v>108941283</v>
      </c>
      <c r="E194" s="5">
        <v>43329</v>
      </c>
      <c r="F194" s="4">
        <v>1079</v>
      </c>
      <c r="G194" s="4">
        <v>4718</v>
      </c>
      <c r="H194" s="4" t="s">
        <v>232</v>
      </c>
      <c r="I194" s="4"/>
      <c r="J194" s="4" t="s">
        <v>233</v>
      </c>
      <c r="K194" s="4" t="s">
        <v>234</v>
      </c>
      <c r="L194" s="4">
        <v>151.57</v>
      </c>
      <c r="M194" s="4">
        <v>124.24</v>
      </c>
      <c r="N194" s="5">
        <v>43311</v>
      </c>
      <c r="O194" s="4"/>
      <c r="P194" s="4" t="s">
        <v>20</v>
      </c>
    </row>
    <row r="195" spans="1:16" x14ac:dyDescent="0.25">
      <c r="A195" s="4" t="s">
        <v>36</v>
      </c>
      <c r="B195" s="5">
        <v>43270</v>
      </c>
      <c r="C195" s="4" t="str">
        <f>"C12020181100038790"</f>
        <v>C12020181100038790</v>
      </c>
      <c r="D195" s="4">
        <v>107768711</v>
      </c>
      <c r="E195" s="5">
        <v>43286</v>
      </c>
      <c r="F195" s="4">
        <v>923</v>
      </c>
      <c r="G195" s="4">
        <v>3564</v>
      </c>
      <c r="H195" s="4" t="s">
        <v>40</v>
      </c>
      <c r="I195" s="4">
        <v>488410010</v>
      </c>
      <c r="J195" s="4" t="s">
        <v>41</v>
      </c>
      <c r="K195" s="4">
        <v>5002174485</v>
      </c>
      <c r="L195" s="4">
        <v>-133.59</v>
      </c>
      <c r="M195" s="4">
        <v>-109.5</v>
      </c>
      <c r="N195" s="5">
        <v>43300</v>
      </c>
      <c r="O195" s="4"/>
      <c r="P195" s="4" t="s">
        <v>84</v>
      </c>
    </row>
    <row r="196" spans="1:16" x14ac:dyDescent="0.25">
      <c r="A196" s="4" t="s">
        <v>17</v>
      </c>
      <c r="B196" s="5">
        <v>43265</v>
      </c>
      <c r="C196" s="4" t="str">
        <f>"4018004879"</f>
        <v>4018004879</v>
      </c>
      <c r="D196" s="4">
        <v>107130653</v>
      </c>
      <c r="E196" s="5">
        <v>43325</v>
      </c>
      <c r="F196" s="4">
        <v>1011</v>
      </c>
      <c r="G196" s="4">
        <v>3233</v>
      </c>
      <c r="H196" s="4" t="s">
        <v>235</v>
      </c>
      <c r="I196" s="4">
        <v>97103880585</v>
      </c>
      <c r="J196" s="4" t="s">
        <v>236</v>
      </c>
      <c r="K196" s="4" t="s">
        <v>237</v>
      </c>
      <c r="L196" s="4">
        <v>544.9</v>
      </c>
      <c r="M196" s="4">
        <v>544.9</v>
      </c>
      <c r="N196" s="5">
        <v>43295</v>
      </c>
      <c r="O196" s="4"/>
      <c r="P196" s="4" t="s">
        <v>188</v>
      </c>
    </row>
    <row r="197" spans="1:16" x14ac:dyDescent="0.25">
      <c r="A197" s="4" t="s">
        <v>17</v>
      </c>
      <c r="B197" s="5">
        <v>43208</v>
      </c>
      <c r="C197" s="4" t="str">
        <f>"C12020181000391323"</f>
        <v>C12020181000391323</v>
      </c>
      <c r="D197" s="4">
        <v>101939438</v>
      </c>
      <c r="E197" s="5">
        <v>43214</v>
      </c>
      <c r="F197" s="4">
        <v>623</v>
      </c>
      <c r="G197" s="4">
        <v>3564</v>
      </c>
      <c r="H197" s="4" t="s">
        <v>40</v>
      </c>
      <c r="I197" s="4">
        <v>488410010</v>
      </c>
      <c r="J197" s="4" t="s">
        <v>41</v>
      </c>
      <c r="K197" s="4">
        <v>4018462457</v>
      </c>
      <c r="L197" s="6">
        <v>2671.8</v>
      </c>
      <c r="M197" s="6">
        <v>2190</v>
      </c>
      <c r="N197" s="4"/>
      <c r="O197" s="4"/>
      <c r="P197" s="4" t="s">
        <v>84</v>
      </c>
    </row>
    <row r="198" spans="1:16" x14ac:dyDescent="0.25">
      <c r="A198" s="4" t="s">
        <v>17</v>
      </c>
      <c r="B198" s="5">
        <v>43206</v>
      </c>
      <c r="C198" s="4" t="str">
        <f>"7X01319744"</f>
        <v>7X01319744</v>
      </c>
      <c r="D198" s="4">
        <v>102255672</v>
      </c>
      <c r="E198" s="5">
        <v>43216</v>
      </c>
      <c r="F198" s="4">
        <v>630</v>
      </c>
      <c r="G198" s="4">
        <v>3564</v>
      </c>
      <c r="H198" s="4" t="s">
        <v>40</v>
      </c>
      <c r="I198" s="4">
        <v>488410010</v>
      </c>
      <c r="J198" s="4" t="s">
        <v>41</v>
      </c>
      <c r="K198" s="4" t="s">
        <v>238</v>
      </c>
      <c r="L198" s="4">
        <v>84.16</v>
      </c>
      <c r="M198" s="4">
        <v>68.98</v>
      </c>
      <c r="N198" s="5">
        <v>43276</v>
      </c>
      <c r="O198" s="4"/>
      <c r="P198" s="4" t="s">
        <v>84</v>
      </c>
    </row>
    <row r="199" spans="1:16" x14ac:dyDescent="0.25">
      <c r="A199" s="4" t="s">
        <v>36</v>
      </c>
      <c r="B199" s="5">
        <v>43196</v>
      </c>
      <c r="C199" s="4" t="str">
        <f>"8V00148203"</f>
        <v>8V00148203</v>
      </c>
      <c r="D199" s="4">
        <v>101318646</v>
      </c>
      <c r="E199" s="5">
        <v>43208</v>
      </c>
      <c r="F199" s="4">
        <v>566</v>
      </c>
      <c r="G199" s="4">
        <v>3564</v>
      </c>
      <c r="H199" s="4" t="s">
        <v>40</v>
      </c>
      <c r="I199" s="4">
        <v>488410010</v>
      </c>
      <c r="J199" s="4" t="s">
        <v>41</v>
      </c>
      <c r="K199" s="4" t="s">
        <v>238</v>
      </c>
      <c r="L199" s="4">
        <v>-131.44</v>
      </c>
      <c r="M199" s="4">
        <v>-125.57</v>
      </c>
      <c r="N199" s="4"/>
      <c r="O199" s="4"/>
      <c r="P199" s="4" t="s">
        <v>32</v>
      </c>
    </row>
    <row r="200" spans="1:16" x14ac:dyDescent="0.25">
      <c r="A200" s="4" t="s">
        <v>17</v>
      </c>
      <c r="B200" s="5">
        <v>43159</v>
      </c>
      <c r="C200" s="4" t="str">
        <f>"2/ELE"</f>
        <v>2/ELE</v>
      </c>
      <c r="D200" s="4">
        <v>96646693</v>
      </c>
      <c r="E200" s="5">
        <v>43164</v>
      </c>
      <c r="F200" s="4">
        <v>345</v>
      </c>
      <c r="G200" s="4">
        <v>4898</v>
      </c>
      <c r="H200" s="4" t="s">
        <v>239</v>
      </c>
      <c r="I200" s="4">
        <v>2077630818</v>
      </c>
      <c r="J200" s="4" t="s">
        <v>240</v>
      </c>
      <c r="K200" s="4"/>
      <c r="L200" s="4">
        <v>391.14</v>
      </c>
      <c r="M200" s="4">
        <v>320.60000000000002</v>
      </c>
      <c r="N200" s="4"/>
      <c r="O200" s="4"/>
      <c r="P200" s="4" t="s">
        <v>20</v>
      </c>
    </row>
    <row r="201" spans="1:16" x14ac:dyDescent="0.25">
      <c r="A201" s="4" t="s">
        <v>17</v>
      </c>
      <c r="B201" s="5">
        <v>43159</v>
      </c>
      <c r="C201" s="4" t="str">
        <f>"3/ELE"</f>
        <v>3/ELE</v>
      </c>
      <c r="D201" s="4">
        <v>96650089</v>
      </c>
      <c r="E201" s="5">
        <v>43164</v>
      </c>
      <c r="F201" s="4">
        <v>346</v>
      </c>
      <c r="G201" s="4">
        <v>4898</v>
      </c>
      <c r="H201" s="4" t="s">
        <v>239</v>
      </c>
      <c r="I201" s="4">
        <v>2077630818</v>
      </c>
      <c r="J201" s="4" t="s">
        <v>240</v>
      </c>
      <c r="K201" s="4"/>
      <c r="L201" s="4">
        <v>441.4</v>
      </c>
      <c r="M201" s="4">
        <v>361.8</v>
      </c>
      <c r="N201" s="4"/>
      <c r="O201" s="4"/>
      <c r="P201" s="4" t="s">
        <v>20</v>
      </c>
    </row>
    <row r="202" spans="1:16" x14ac:dyDescent="0.25">
      <c r="A202" s="4" t="s">
        <v>36</v>
      </c>
      <c r="B202" s="5">
        <v>43145</v>
      </c>
      <c r="C202" s="4" t="str">
        <f>"7X00891137"</f>
        <v>7X00891137</v>
      </c>
      <c r="D202" s="4">
        <v>96198737</v>
      </c>
      <c r="E202" s="5">
        <v>43157</v>
      </c>
      <c r="F202" s="4">
        <v>321</v>
      </c>
      <c r="G202" s="4">
        <v>3564</v>
      </c>
      <c r="H202" s="4" t="s">
        <v>40</v>
      </c>
      <c r="I202" s="4">
        <v>488410010</v>
      </c>
      <c r="J202" s="4" t="s">
        <v>41</v>
      </c>
      <c r="K202" s="4" t="s">
        <v>241</v>
      </c>
      <c r="L202" s="4">
        <v>-27.61</v>
      </c>
      <c r="M202" s="4">
        <v>-59.52</v>
      </c>
      <c r="N202" s="4"/>
      <c r="O202" s="4"/>
      <c r="P202" s="4" t="s">
        <v>84</v>
      </c>
    </row>
    <row r="203" spans="1:16" x14ac:dyDescent="0.25">
      <c r="A203" s="4" t="s">
        <v>17</v>
      </c>
      <c r="B203" s="5">
        <v>43137</v>
      </c>
      <c r="C203" s="4" t="str">
        <f>"8V00063365"</f>
        <v>8V00063365</v>
      </c>
      <c r="D203" s="4">
        <v>95997347</v>
      </c>
      <c r="E203" s="5">
        <v>43167</v>
      </c>
      <c r="F203" s="4">
        <v>368</v>
      </c>
      <c r="G203" s="4">
        <v>3564</v>
      </c>
      <c r="H203" s="4" t="s">
        <v>40</v>
      </c>
      <c r="I203" s="4">
        <v>488410010</v>
      </c>
      <c r="J203" s="4" t="s">
        <v>41</v>
      </c>
      <c r="K203" s="4" t="s">
        <v>241</v>
      </c>
      <c r="L203" s="4">
        <v>21.14</v>
      </c>
      <c r="M203" s="4">
        <v>17.329999999999998</v>
      </c>
      <c r="N203" s="5">
        <v>43220</v>
      </c>
      <c r="O203" s="4"/>
      <c r="P203" s="4" t="s">
        <v>43</v>
      </c>
    </row>
    <row r="204" spans="1:16" x14ac:dyDescent="0.25">
      <c r="A204" s="4" t="s">
        <v>17</v>
      </c>
      <c r="B204" s="5">
        <v>43126</v>
      </c>
      <c r="C204" s="4" t="str">
        <f>"6820180116002114"</f>
        <v>6820180116002114</v>
      </c>
      <c r="D204" s="4">
        <v>93771158</v>
      </c>
      <c r="E204" s="5">
        <v>43132</v>
      </c>
      <c r="F204" s="4">
        <v>215</v>
      </c>
      <c r="G204" s="4">
        <v>3564</v>
      </c>
      <c r="H204" s="4" t="s">
        <v>40</v>
      </c>
      <c r="I204" s="4">
        <v>488410010</v>
      </c>
      <c r="J204" s="4" t="s">
        <v>41</v>
      </c>
      <c r="K204" s="4" t="s">
        <v>211</v>
      </c>
      <c r="L204" s="4">
        <v>292.8</v>
      </c>
      <c r="M204" s="4">
        <v>240</v>
      </c>
      <c r="N204" s="4"/>
      <c r="O204" s="4"/>
      <c r="P204" s="4" t="s">
        <v>43</v>
      </c>
    </row>
    <row r="205" spans="1:16" x14ac:dyDescent="0.25">
      <c r="A205" s="4" t="s">
        <v>17</v>
      </c>
      <c r="B205" s="5">
        <v>43124</v>
      </c>
      <c r="C205" s="4" t="str">
        <f>"C12020181000092914"</f>
        <v>C12020181000092914</v>
      </c>
      <c r="D205" s="4">
        <v>93396145</v>
      </c>
      <c r="E205" s="5">
        <v>43130</v>
      </c>
      <c r="F205" s="4">
        <v>195</v>
      </c>
      <c r="G205" s="4">
        <v>3564</v>
      </c>
      <c r="H205" s="4" t="s">
        <v>40</v>
      </c>
      <c r="I205" s="4">
        <v>488410010</v>
      </c>
      <c r="J205" s="4" t="s">
        <v>41</v>
      </c>
      <c r="K205" s="4">
        <v>4018001836</v>
      </c>
      <c r="L205" s="6">
        <v>1407.49</v>
      </c>
      <c r="M205" s="6">
        <v>1153.68</v>
      </c>
      <c r="N205" s="4"/>
      <c r="O205" s="4"/>
      <c r="P205" s="4" t="s">
        <v>84</v>
      </c>
    </row>
    <row r="206" spans="1:16" x14ac:dyDescent="0.25">
      <c r="A206" s="4" t="s">
        <v>17</v>
      </c>
      <c r="B206" s="5">
        <v>43119</v>
      </c>
      <c r="C206" s="4" t="str">
        <f>"01/2018"</f>
        <v>01/2018</v>
      </c>
      <c r="D206" s="4">
        <v>93032403</v>
      </c>
      <c r="E206" s="5">
        <v>43136</v>
      </c>
      <c r="F206" s="4">
        <v>225</v>
      </c>
      <c r="G206" s="4">
        <v>3230</v>
      </c>
      <c r="H206" s="4" t="s">
        <v>242</v>
      </c>
      <c r="I206" s="4"/>
      <c r="J206" s="4" t="s">
        <v>243</v>
      </c>
      <c r="K206" s="4" t="s">
        <v>244</v>
      </c>
      <c r="L206" s="6">
        <v>1012.6</v>
      </c>
      <c r="M206" s="4">
        <v>830</v>
      </c>
      <c r="N206" s="4"/>
      <c r="O206" s="4"/>
      <c r="P206" s="4" t="s">
        <v>32</v>
      </c>
    </row>
    <row r="207" spans="1:16" x14ac:dyDescent="0.25">
      <c r="A207" s="4" t="s">
        <v>17</v>
      </c>
      <c r="B207" s="5">
        <v>43068</v>
      </c>
      <c r="C207" s="4" t="str">
        <f>"6820171116002194"</f>
        <v>6820171116002194</v>
      </c>
      <c r="D207" s="4">
        <v>88317398</v>
      </c>
      <c r="E207" s="5">
        <v>43070</v>
      </c>
      <c r="F207" s="4">
        <v>1721</v>
      </c>
      <c r="G207" s="4">
        <v>3564</v>
      </c>
      <c r="H207" s="4" t="s">
        <v>40</v>
      </c>
      <c r="I207" s="4">
        <v>488410010</v>
      </c>
      <c r="J207" s="4" t="s">
        <v>41</v>
      </c>
      <c r="K207" s="4" t="s">
        <v>211</v>
      </c>
      <c r="L207" s="4">
        <v>292.8</v>
      </c>
      <c r="M207" s="4">
        <v>240</v>
      </c>
      <c r="N207" s="4"/>
      <c r="O207" s="4"/>
      <c r="P207" s="4" t="s">
        <v>32</v>
      </c>
    </row>
    <row r="208" spans="1:16" x14ac:dyDescent="0.25">
      <c r="A208" s="4" t="s">
        <v>17</v>
      </c>
      <c r="B208" s="5">
        <v>43053</v>
      </c>
      <c r="C208" s="4" t="str">
        <f>"4017009069"</f>
        <v>4017009069</v>
      </c>
      <c r="D208" s="4">
        <v>86790552</v>
      </c>
      <c r="E208" s="5">
        <v>43056</v>
      </c>
      <c r="F208" s="4">
        <v>1578</v>
      </c>
      <c r="G208" s="4">
        <v>3233</v>
      </c>
      <c r="H208" s="4" t="s">
        <v>235</v>
      </c>
      <c r="I208" s="4">
        <v>97103880585</v>
      </c>
      <c r="J208" s="4" t="s">
        <v>236</v>
      </c>
      <c r="K208" s="4" t="s">
        <v>245</v>
      </c>
      <c r="L208" s="4">
        <v>529.70000000000005</v>
      </c>
      <c r="M208" s="4">
        <v>529.70000000000005</v>
      </c>
      <c r="N208" s="4"/>
      <c r="O208" s="4"/>
      <c r="P208" s="4" t="s">
        <v>43</v>
      </c>
    </row>
    <row r="209" spans="1:16" x14ac:dyDescent="0.25">
      <c r="A209" s="4" t="s">
        <v>17</v>
      </c>
      <c r="B209" s="5">
        <v>43013</v>
      </c>
      <c r="C209" s="4" t="str">
        <f>"8V00543347"</f>
        <v>8V00543347</v>
      </c>
      <c r="D209" s="4">
        <v>85012934</v>
      </c>
      <c r="E209" s="5">
        <v>43035</v>
      </c>
      <c r="F209" s="4">
        <v>1478</v>
      </c>
      <c r="G209" s="4">
        <v>3564</v>
      </c>
      <c r="H209" s="4" t="s">
        <v>40</v>
      </c>
      <c r="I209" s="4">
        <v>488410010</v>
      </c>
      <c r="J209" s="4" t="s">
        <v>41</v>
      </c>
      <c r="K209" s="4" t="s">
        <v>246</v>
      </c>
      <c r="L209" s="4">
        <v>-34.04</v>
      </c>
      <c r="M209" s="4">
        <v>-27.9</v>
      </c>
      <c r="N209" s="5">
        <v>43044</v>
      </c>
      <c r="O209" s="4"/>
      <c r="P209" s="4" t="s">
        <v>32</v>
      </c>
    </row>
    <row r="210" spans="1:16" x14ac:dyDescent="0.25">
      <c r="A210" s="4" t="s">
        <v>17</v>
      </c>
      <c r="B210" s="5">
        <v>43013</v>
      </c>
      <c r="C210" s="4" t="str">
        <f>"8V00544390"</f>
        <v>8V00544390</v>
      </c>
      <c r="D210" s="4">
        <v>85172032</v>
      </c>
      <c r="E210" s="5">
        <v>43067</v>
      </c>
      <c r="F210" s="4">
        <v>1629</v>
      </c>
      <c r="G210" s="4">
        <v>3564</v>
      </c>
      <c r="H210" s="4" t="s">
        <v>40</v>
      </c>
      <c r="I210" s="4">
        <v>488410010</v>
      </c>
      <c r="J210" s="4" t="s">
        <v>41</v>
      </c>
      <c r="K210" s="4" t="s">
        <v>246</v>
      </c>
      <c r="L210" s="4">
        <v>190.77</v>
      </c>
      <c r="M210" s="4">
        <v>156.37</v>
      </c>
      <c r="N210" s="5">
        <v>43102</v>
      </c>
      <c r="O210" s="4"/>
      <c r="P210" s="4" t="s">
        <v>43</v>
      </c>
    </row>
    <row r="211" spans="1:16" x14ac:dyDescent="0.25">
      <c r="A211" s="4" t="s">
        <v>17</v>
      </c>
      <c r="B211" s="5">
        <v>42954</v>
      </c>
      <c r="C211" s="4" t="str">
        <f>"8V00430460"</f>
        <v>8V00430460</v>
      </c>
      <c r="D211" s="4">
        <v>79661714</v>
      </c>
      <c r="E211" s="5">
        <v>42979</v>
      </c>
      <c r="F211" s="4">
        <v>1193</v>
      </c>
      <c r="G211" s="4">
        <v>3564</v>
      </c>
      <c r="H211" s="4" t="s">
        <v>40</v>
      </c>
      <c r="I211" s="4">
        <v>488410010</v>
      </c>
      <c r="J211" s="4" t="s">
        <v>41</v>
      </c>
      <c r="K211" s="4" t="s">
        <v>247</v>
      </c>
      <c r="L211" s="4">
        <v>188.05</v>
      </c>
      <c r="M211" s="4">
        <v>154.13999999999999</v>
      </c>
      <c r="N211" s="5">
        <v>43039</v>
      </c>
      <c r="O211" s="4"/>
      <c r="P211" s="4" t="s">
        <v>43</v>
      </c>
    </row>
    <row r="212" spans="1:16" x14ac:dyDescent="0.25">
      <c r="A212" s="4" t="s">
        <v>17</v>
      </c>
      <c r="B212" s="5">
        <v>42816</v>
      </c>
      <c r="C212" s="4" t="str">
        <f>"02"</f>
        <v>02</v>
      </c>
      <c r="D212" s="4">
        <v>0</v>
      </c>
      <c r="E212" s="5">
        <v>42851</v>
      </c>
      <c r="F212" s="4">
        <v>564</v>
      </c>
      <c r="G212" s="4">
        <v>3230</v>
      </c>
      <c r="H212" s="4" t="s">
        <v>242</v>
      </c>
      <c r="I212" s="4"/>
      <c r="J212" s="4" t="s">
        <v>243</v>
      </c>
      <c r="K212" s="4" t="s">
        <v>248</v>
      </c>
      <c r="L212" s="4">
        <v>743.41</v>
      </c>
      <c r="M212" s="4">
        <v>609.35</v>
      </c>
      <c r="N212" s="5">
        <v>42847</v>
      </c>
      <c r="O212" s="4"/>
      <c r="P212" s="4"/>
    </row>
    <row r="213" spans="1:16" x14ac:dyDescent="0.25">
      <c r="A213" s="4" t="s">
        <v>17</v>
      </c>
      <c r="B213" s="5">
        <v>42804</v>
      </c>
      <c r="C213" s="4" t="str">
        <f>"10/"</f>
        <v>10/</v>
      </c>
      <c r="D213" s="4">
        <v>0</v>
      </c>
      <c r="E213" s="5">
        <v>42851</v>
      </c>
      <c r="F213" s="4">
        <v>567</v>
      </c>
      <c r="G213" s="4">
        <v>718</v>
      </c>
      <c r="H213" s="4" t="s">
        <v>249</v>
      </c>
      <c r="I213" s="4">
        <v>3486970829</v>
      </c>
      <c r="J213" s="4" t="s">
        <v>250</v>
      </c>
      <c r="K213" s="4"/>
      <c r="L213" s="4">
        <v>501.6</v>
      </c>
      <c r="M213" s="4">
        <v>456</v>
      </c>
      <c r="N213" s="5">
        <v>42834</v>
      </c>
      <c r="O213" s="4"/>
      <c r="P213" s="4"/>
    </row>
    <row r="214" spans="1:16" x14ac:dyDescent="0.25">
      <c r="A214" s="4" t="s">
        <v>17</v>
      </c>
      <c r="B214" s="5">
        <v>42779</v>
      </c>
      <c r="C214" s="4" t="str">
        <f>"1"</f>
        <v>1</v>
      </c>
      <c r="D214" s="4">
        <v>0</v>
      </c>
      <c r="E214" s="5">
        <v>42783</v>
      </c>
      <c r="F214" s="4">
        <v>230</v>
      </c>
      <c r="G214" s="4">
        <v>4552</v>
      </c>
      <c r="H214" s="4" t="s">
        <v>251</v>
      </c>
      <c r="I214" s="4"/>
      <c r="J214" s="4" t="s">
        <v>252</v>
      </c>
      <c r="K214" s="4" t="s">
        <v>253</v>
      </c>
      <c r="L214" s="6">
        <v>1436.8</v>
      </c>
      <c r="M214" s="6">
        <v>1381.54</v>
      </c>
      <c r="N214" s="5">
        <v>42794</v>
      </c>
      <c r="O214" s="4"/>
      <c r="P214" s="4"/>
    </row>
    <row r="215" spans="1:16" x14ac:dyDescent="0.25">
      <c r="A215" s="4" t="s">
        <v>17</v>
      </c>
      <c r="B215" s="5">
        <v>42734</v>
      </c>
      <c r="C215" s="4" t="str">
        <f>"FATTPA 103_16"</f>
        <v>FATTPA 103_16</v>
      </c>
      <c r="D215" s="4">
        <v>0</v>
      </c>
      <c r="E215" s="5">
        <v>42734</v>
      </c>
      <c r="F215" s="4">
        <v>1983</v>
      </c>
      <c r="G215" s="4">
        <v>66</v>
      </c>
      <c r="H215" s="4" t="s">
        <v>107</v>
      </c>
      <c r="I215" s="4">
        <v>247990815</v>
      </c>
      <c r="J215" s="4" t="s">
        <v>108</v>
      </c>
      <c r="K215" s="4"/>
      <c r="L215" s="6">
        <v>5880.31</v>
      </c>
      <c r="M215" s="6">
        <v>5345.74</v>
      </c>
      <c r="N215" s="5">
        <v>42764</v>
      </c>
      <c r="O215" s="4"/>
      <c r="P215" s="4"/>
    </row>
    <row r="216" spans="1:16" x14ac:dyDescent="0.25">
      <c r="A216" s="4" t="s">
        <v>17</v>
      </c>
      <c r="B216" s="5">
        <v>42734</v>
      </c>
      <c r="C216" s="4" t="str">
        <f>"19"</f>
        <v>19</v>
      </c>
      <c r="D216" s="4">
        <v>0</v>
      </c>
      <c r="E216" s="5">
        <v>42783</v>
      </c>
      <c r="F216" s="4">
        <v>229</v>
      </c>
      <c r="G216" s="4">
        <v>4552</v>
      </c>
      <c r="H216" s="4" t="s">
        <v>251</v>
      </c>
      <c r="I216" s="4"/>
      <c r="J216" s="4" t="s">
        <v>252</v>
      </c>
      <c r="K216" s="4" t="s">
        <v>254</v>
      </c>
      <c r="L216" s="4">
        <v>932.85</v>
      </c>
      <c r="M216" s="4">
        <v>896.97</v>
      </c>
      <c r="N216" s="5">
        <v>42766</v>
      </c>
      <c r="O216" s="4"/>
      <c r="P216" s="4"/>
    </row>
    <row r="217" spans="1:16" x14ac:dyDescent="0.25">
      <c r="A217" s="4" t="s">
        <v>17</v>
      </c>
      <c r="B217" s="5">
        <v>42725</v>
      </c>
      <c r="C217" s="4" t="str">
        <f>"18"</f>
        <v>18</v>
      </c>
      <c r="D217" s="4">
        <v>0</v>
      </c>
      <c r="E217" s="5">
        <v>42734</v>
      </c>
      <c r="F217" s="4">
        <v>1967</v>
      </c>
      <c r="G217" s="4">
        <v>4552</v>
      </c>
      <c r="H217" s="4" t="s">
        <v>251</v>
      </c>
      <c r="I217" s="4"/>
      <c r="J217" s="4" t="s">
        <v>252</v>
      </c>
      <c r="K217" s="4" t="s">
        <v>255</v>
      </c>
      <c r="L217" s="6">
        <v>1212.56</v>
      </c>
      <c r="M217" s="6">
        <v>1165.92</v>
      </c>
      <c r="N217" s="5">
        <v>42735</v>
      </c>
      <c r="O217" s="4"/>
      <c r="P217" s="4"/>
    </row>
    <row r="218" spans="1:16" x14ac:dyDescent="0.25">
      <c r="A218" s="4" t="s">
        <v>17</v>
      </c>
      <c r="B218" s="5">
        <v>42676</v>
      </c>
      <c r="C218" s="4" t="str">
        <f>"17"</f>
        <v>17</v>
      </c>
      <c r="D218" s="4">
        <v>0</v>
      </c>
      <c r="E218" s="5">
        <v>42698</v>
      </c>
      <c r="F218" s="4">
        <v>1849</v>
      </c>
      <c r="G218" s="4">
        <v>4552</v>
      </c>
      <c r="H218" s="4" t="s">
        <v>251</v>
      </c>
      <c r="I218" s="4"/>
      <c r="J218" s="4" t="s">
        <v>252</v>
      </c>
      <c r="K218" s="4" t="s">
        <v>256</v>
      </c>
      <c r="L218" s="4">
        <v>337.86</v>
      </c>
      <c r="M218" s="4">
        <v>324.87</v>
      </c>
      <c r="N218" s="5">
        <v>42704</v>
      </c>
      <c r="O218" s="4"/>
      <c r="P218" s="4"/>
    </row>
    <row r="219" spans="1:16" x14ac:dyDescent="0.25">
      <c r="A219" s="4" t="s">
        <v>36</v>
      </c>
      <c r="B219" s="5">
        <v>42665</v>
      </c>
      <c r="C219" s="4" t="str">
        <f>"17"</f>
        <v>17</v>
      </c>
      <c r="D219" s="4">
        <v>0</v>
      </c>
      <c r="E219" s="5">
        <v>42697</v>
      </c>
      <c r="F219" s="4">
        <v>1769</v>
      </c>
      <c r="G219" s="4">
        <v>4552</v>
      </c>
      <c r="H219" s="4" t="s">
        <v>251</v>
      </c>
      <c r="I219" s="4"/>
      <c r="J219" s="4" t="s">
        <v>252</v>
      </c>
      <c r="K219" s="4" t="s">
        <v>257</v>
      </c>
      <c r="L219" s="4">
        <v>-65.41</v>
      </c>
      <c r="M219" s="4">
        <v>-65.41</v>
      </c>
      <c r="N219" s="5">
        <v>42697</v>
      </c>
      <c r="O219" s="4"/>
      <c r="P219" s="4"/>
    </row>
    <row r="220" spans="1:16" x14ac:dyDescent="0.25">
      <c r="A220" s="4" t="s">
        <v>17</v>
      </c>
      <c r="B220" s="5">
        <v>42613</v>
      </c>
      <c r="C220" s="4" t="str">
        <f>"9/PNL/FPA"</f>
        <v>9/PNL/FPA</v>
      </c>
      <c r="D220" s="4">
        <v>0</v>
      </c>
      <c r="E220" s="5">
        <v>42851</v>
      </c>
      <c r="F220" s="4">
        <v>537</v>
      </c>
      <c r="G220" s="4">
        <v>466</v>
      </c>
      <c r="H220" s="4" t="s">
        <v>125</v>
      </c>
      <c r="I220" s="4">
        <v>3620860829</v>
      </c>
      <c r="J220" s="4" t="s">
        <v>126</v>
      </c>
      <c r="K220" s="4" t="s">
        <v>127</v>
      </c>
      <c r="L220" s="6">
        <v>2396.15</v>
      </c>
      <c r="M220" s="6">
        <v>1964.06</v>
      </c>
      <c r="N220" s="5">
        <v>42643</v>
      </c>
      <c r="O220" s="4"/>
      <c r="P220" s="4"/>
    </row>
    <row r="221" spans="1:16" x14ac:dyDescent="0.25">
      <c r="A221" s="4" t="s">
        <v>17</v>
      </c>
      <c r="B221" s="5">
        <v>42569</v>
      </c>
      <c r="C221" s="4" t="str">
        <f>"08/2016"</f>
        <v>08/2016</v>
      </c>
      <c r="D221" s="4">
        <v>0</v>
      </c>
      <c r="E221" s="5">
        <v>42626</v>
      </c>
      <c r="F221" s="4">
        <v>1338</v>
      </c>
      <c r="G221" s="4">
        <v>3230</v>
      </c>
      <c r="H221" s="4" t="s">
        <v>242</v>
      </c>
      <c r="I221" s="4"/>
      <c r="J221" s="4" t="s">
        <v>243</v>
      </c>
      <c r="K221" s="4" t="s">
        <v>258</v>
      </c>
      <c r="L221" s="4">
        <v>743.41</v>
      </c>
      <c r="M221" s="4">
        <v>609.35</v>
      </c>
      <c r="N221" s="5">
        <v>42600</v>
      </c>
      <c r="O221" s="4"/>
      <c r="P221" s="4"/>
    </row>
    <row r="222" spans="1:16" x14ac:dyDescent="0.25">
      <c r="A222" s="4" t="s">
        <v>17</v>
      </c>
      <c r="B222" s="5">
        <v>42520</v>
      </c>
      <c r="C222" s="4" t="str">
        <f>"6820160514001717"</f>
        <v>6820160514001717</v>
      </c>
      <c r="D222" s="4">
        <v>0</v>
      </c>
      <c r="E222" s="5">
        <v>42558</v>
      </c>
      <c r="F222" s="4">
        <v>1033</v>
      </c>
      <c r="G222" s="4">
        <v>1643</v>
      </c>
      <c r="H222" s="4" t="s">
        <v>40</v>
      </c>
      <c r="I222" s="4"/>
      <c r="J222" s="4" t="s">
        <v>41</v>
      </c>
      <c r="K222" s="4" t="s">
        <v>259</v>
      </c>
      <c r="L222" s="4">
        <v>189.47</v>
      </c>
      <c r="M222" s="4">
        <v>189.47</v>
      </c>
      <c r="N222" s="5">
        <v>42611</v>
      </c>
      <c r="O222" s="4"/>
      <c r="P222" s="4"/>
    </row>
    <row r="223" spans="1:16" x14ac:dyDescent="0.25">
      <c r="A223" s="4" t="s">
        <v>36</v>
      </c>
      <c r="B223" s="5">
        <v>42451</v>
      </c>
      <c r="C223" s="4" t="str">
        <f>"FATTPA 31_16"</f>
        <v>FATTPA 31_16</v>
      </c>
      <c r="D223" s="4">
        <v>0</v>
      </c>
      <c r="E223" s="5">
        <v>42454</v>
      </c>
      <c r="F223" s="4">
        <v>490</v>
      </c>
      <c r="G223" s="4">
        <v>66</v>
      </c>
      <c r="H223" s="4" t="s">
        <v>107</v>
      </c>
      <c r="I223" s="4">
        <v>247990815</v>
      </c>
      <c r="J223" s="4" t="s">
        <v>108</v>
      </c>
      <c r="K223" s="4"/>
      <c r="L223" s="4">
        <v>-20.46</v>
      </c>
      <c r="M223" s="4">
        <v>-18.600000000000001</v>
      </c>
      <c r="N223" s="5">
        <v>42481</v>
      </c>
      <c r="O223" s="4"/>
      <c r="P223" s="4"/>
    </row>
    <row r="224" spans="1:16" x14ac:dyDescent="0.25">
      <c r="A224" s="4" t="s">
        <v>36</v>
      </c>
      <c r="B224" s="5">
        <v>42451</v>
      </c>
      <c r="C224" s="4" t="str">
        <f>"FATTPA 32_16"</f>
        <v>FATTPA 32_16</v>
      </c>
      <c r="D224" s="4">
        <v>0</v>
      </c>
      <c r="E224" s="5">
        <v>42454</v>
      </c>
      <c r="F224" s="4">
        <v>491</v>
      </c>
      <c r="G224" s="4">
        <v>66</v>
      </c>
      <c r="H224" s="4" t="s">
        <v>107</v>
      </c>
      <c r="I224" s="4">
        <v>247990815</v>
      </c>
      <c r="J224" s="4" t="s">
        <v>108</v>
      </c>
      <c r="K224" s="4"/>
      <c r="L224" s="4">
        <v>-22.22</v>
      </c>
      <c r="M224" s="4">
        <v>-20.2</v>
      </c>
      <c r="N224" s="5">
        <v>42481</v>
      </c>
      <c r="O224" s="4"/>
      <c r="P224" s="4"/>
    </row>
    <row r="225" spans="1:16" x14ac:dyDescent="0.25">
      <c r="A225" s="4" t="s">
        <v>17</v>
      </c>
      <c r="B225" s="5">
        <v>42387</v>
      </c>
      <c r="C225" s="4" t="str">
        <f>"FATTPA 7_16"</f>
        <v>FATTPA 7_16</v>
      </c>
      <c r="D225" s="4">
        <v>0</v>
      </c>
      <c r="E225" s="5">
        <v>42397</v>
      </c>
      <c r="F225" s="4">
        <v>142</v>
      </c>
      <c r="G225" s="4">
        <v>4268</v>
      </c>
      <c r="H225" s="4" t="s">
        <v>260</v>
      </c>
      <c r="I225" s="4" t="s">
        <v>261</v>
      </c>
      <c r="J225" s="4" t="s">
        <v>262</v>
      </c>
      <c r="K225" s="4" t="s">
        <v>169</v>
      </c>
      <c r="L225" s="6">
        <v>3000</v>
      </c>
      <c r="M225" s="6">
        <v>2459.02</v>
      </c>
      <c r="N225" s="5">
        <v>42417</v>
      </c>
      <c r="O225" s="4"/>
      <c r="P225" s="4"/>
    </row>
    <row r="226" spans="1:16" x14ac:dyDescent="0.25">
      <c r="A226" s="4" t="s">
        <v>17</v>
      </c>
      <c r="B226" s="5">
        <v>42369</v>
      </c>
      <c r="C226" s="4" t="str">
        <f>"16-2015/PA"</f>
        <v>16-2015/PA</v>
      </c>
      <c r="D226" s="4">
        <v>0</v>
      </c>
      <c r="E226" s="5">
        <v>42430</v>
      </c>
      <c r="F226" s="4">
        <v>332</v>
      </c>
      <c r="G226" s="4">
        <v>3230</v>
      </c>
      <c r="H226" s="4" t="s">
        <v>242</v>
      </c>
      <c r="I226" s="4"/>
      <c r="J226" s="4" t="s">
        <v>243</v>
      </c>
      <c r="K226" s="4" t="s">
        <v>263</v>
      </c>
      <c r="L226" s="4">
        <v>173.48</v>
      </c>
      <c r="M226" s="4">
        <v>142.19999999999999</v>
      </c>
      <c r="N226" s="5">
        <v>42442</v>
      </c>
      <c r="O226" s="4"/>
      <c r="P226" s="4"/>
    </row>
    <row r="227" spans="1:16" x14ac:dyDescent="0.25">
      <c r="A227" s="4" t="s">
        <v>17</v>
      </c>
      <c r="B227" s="5">
        <v>42369</v>
      </c>
      <c r="C227" s="4" t="str">
        <f>"17-2015/PA"</f>
        <v>17-2015/PA</v>
      </c>
      <c r="D227" s="4">
        <v>0</v>
      </c>
      <c r="E227" s="5">
        <v>42430</v>
      </c>
      <c r="F227" s="4">
        <v>333</v>
      </c>
      <c r="G227" s="4">
        <v>3230</v>
      </c>
      <c r="H227" s="4" t="s">
        <v>242</v>
      </c>
      <c r="I227" s="4"/>
      <c r="J227" s="4" t="s">
        <v>243</v>
      </c>
      <c r="K227" s="4" t="s">
        <v>264</v>
      </c>
      <c r="L227" s="4">
        <v>187.98</v>
      </c>
      <c r="M227" s="4">
        <v>154.08000000000001</v>
      </c>
      <c r="N227" s="5">
        <v>42445</v>
      </c>
      <c r="O227" s="4"/>
      <c r="P227" s="4"/>
    </row>
    <row r="228" spans="1:16" x14ac:dyDescent="0.25">
      <c r="A228" s="4" t="s">
        <v>17</v>
      </c>
      <c r="B228" s="5">
        <v>42352</v>
      </c>
      <c r="C228" s="4" t="str">
        <f>"13-2015/PA"</f>
        <v>13-2015/PA</v>
      </c>
      <c r="D228" s="4">
        <v>0</v>
      </c>
      <c r="E228" s="5">
        <v>42354</v>
      </c>
      <c r="F228" s="4">
        <v>1845</v>
      </c>
      <c r="G228" s="4">
        <v>3230</v>
      </c>
      <c r="H228" s="4" t="s">
        <v>242</v>
      </c>
      <c r="I228" s="4"/>
      <c r="J228" s="4" t="s">
        <v>243</v>
      </c>
      <c r="K228" s="4" t="s">
        <v>265</v>
      </c>
      <c r="L228" s="4">
        <v>593.37</v>
      </c>
      <c r="M228" s="4">
        <v>486.37</v>
      </c>
      <c r="N228" s="5">
        <v>42382</v>
      </c>
      <c r="O228" s="4"/>
      <c r="P228" s="4" t="s">
        <v>20</v>
      </c>
    </row>
    <row r="229" spans="1:16" x14ac:dyDescent="0.25">
      <c r="A229" s="4" t="s">
        <v>17</v>
      </c>
      <c r="B229" s="5">
        <v>42352</v>
      </c>
      <c r="C229" s="4" t="str">
        <f>"14-2015/PA"</f>
        <v>14-2015/PA</v>
      </c>
      <c r="D229" s="4">
        <v>0</v>
      </c>
      <c r="E229" s="5">
        <v>42354</v>
      </c>
      <c r="F229" s="4">
        <v>1846</v>
      </c>
      <c r="G229" s="4">
        <v>3230</v>
      </c>
      <c r="H229" s="4" t="s">
        <v>242</v>
      </c>
      <c r="I229" s="4"/>
      <c r="J229" s="4" t="s">
        <v>243</v>
      </c>
      <c r="K229" s="4" t="s">
        <v>266</v>
      </c>
      <c r="L229" s="4">
        <v>293.98</v>
      </c>
      <c r="M229" s="4">
        <v>240.97</v>
      </c>
      <c r="N229" s="5">
        <v>42382</v>
      </c>
      <c r="O229" s="4"/>
      <c r="P229" s="4" t="s">
        <v>20</v>
      </c>
    </row>
    <row r="230" spans="1:16" x14ac:dyDescent="0.25">
      <c r="A230" s="4" t="s">
        <v>17</v>
      </c>
      <c r="B230" s="5">
        <v>42249</v>
      </c>
      <c r="C230" s="4" t="str">
        <f>"09-2015/PA"</f>
        <v>09-2015/PA</v>
      </c>
      <c r="D230" s="4">
        <v>0</v>
      </c>
      <c r="E230" s="5">
        <v>42255</v>
      </c>
      <c r="F230" s="4">
        <v>1208</v>
      </c>
      <c r="G230" s="4">
        <v>3230</v>
      </c>
      <c r="H230" s="4" t="s">
        <v>242</v>
      </c>
      <c r="I230" s="4"/>
      <c r="J230" s="4" t="s">
        <v>243</v>
      </c>
      <c r="K230" s="4" t="s">
        <v>267</v>
      </c>
      <c r="L230" s="4">
        <v>683.18</v>
      </c>
      <c r="M230" s="4">
        <v>559.98</v>
      </c>
      <c r="N230" s="5">
        <v>42279</v>
      </c>
      <c r="O230" s="4"/>
      <c r="P230" s="4" t="s">
        <v>20</v>
      </c>
    </row>
    <row r="231" spans="1:16" x14ac:dyDescent="0.25">
      <c r="A231" s="4" t="s">
        <v>17</v>
      </c>
      <c r="B231" s="5">
        <v>42206</v>
      </c>
      <c r="C231" s="4" t="str">
        <f>"07-2015/PA"</f>
        <v>07-2015/PA</v>
      </c>
      <c r="D231" s="4">
        <v>0</v>
      </c>
      <c r="E231" s="5">
        <v>42212</v>
      </c>
      <c r="F231" s="4">
        <v>977</v>
      </c>
      <c r="G231" s="4">
        <v>3230</v>
      </c>
      <c r="H231" s="4" t="s">
        <v>242</v>
      </c>
      <c r="I231" s="4"/>
      <c r="J231" s="4" t="s">
        <v>243</v>
      </c>
      <c r="K231" s="4" t="s">
        <v>268</v>
      </c>
      <c r="L231" s="4">
        <v>320.42</v>
      </c>
      <c r="M231" s="4">
        <v>262.64</v>
      </c>
      <c r="N231" s="5">
        <v>42236</v>
      </c>
      <c r="O231" s="4"/>
      <c r="P231" s="4" t="s">
        <v>20</v>
      </c>
    </row>
    <row r="232" spans="1:16" x14ac:dyDescent="0.25">
      <c r="A232" s="4" t="s">
        <v>17</v>
      </c>
      <c r="B232" s="5">
        <v>42206</v>
      </c>
      <c r="C232" s="4" t="str">
        <f>"08-2015/PA"</f>
        <v>08-2015/PA</v>
      </c>
      <c r="D232" s="4">
        <v>0</v>
      </c>
      <c r="E232" s="5">
        <v>42212</v>
      </c>
      <c r="F232" s="4">
        <v>978</v>
      </c>
      <c r="G232" s="4">
        <v>3230</v>
      </c>
      <c r="H232" s="4" t="s">
        <v>242</v>
      </c>
      <c r="I232" s="4"/>
      <c r="J232" s="4" t="s">
        <v>243</v>
      </c>
      <c r="K232" s="4" t="s">
        <v>269</v>
      </c>
      <c r="L232" s="4">
        <v>445.53</v>
      </c>
      <c r="M232" s="4">
        <v>365.19</v>
      </c>
      <c r="N232" s="5">
        <v>42236</v>
      </c>
      <c r="O232" s="4"/>
      <c r="P232" s="4" t="s">
        <v>20</v>
      </c>
    </row>
    <row r="233" spans="1:16" x14ac:dyDescent="0.25">
      <c r="A233" s="4" t="s">
        <v>17</v>
      </c>
      <c r="B233" s="5">
        <v>42194</v>
      </c>
      <c r="C233" s="4" t="str">
        <f>"06-2015/PA"</f>
        <v>06-2015/PA</v>
      </c>
      <c r="D233" s="4">
        <v>0</v>
      </c>
      <c r="E233" s="5">
        <v>42212</v>
      </c>
      <c r="F233" s="4">
        <v>976</v>
      </c>
      <c r="G233" s="4">
        <v>3230</v>
      </c>
      <c r="H233" s="4" t="s">
        <v>242</v>
      </c>
      <c r="I233" s="4"/>
      <c r="J233" s="4" t="s">
        <v>243</v>
      </c>
      <c r="K233" s="4" t="s">
        <v>270</v>
      </c>
      <c r="L233" s="4">
        <v>156.44999999999999</v>
      </c>
      <c r="M233" s="4">
        <v>128.24</v>
      </c>
      <c r="N233" s="5">
        <v>42236</v>
      </c>
      <c r="O233" s="4"/>
      <c r="P233" s="4" t="s">
        <v>20</v>
      </c>
    </row>
    <row r="234" spans="1:16" x14ac:dyDescent="0.25">
      <c r="A234" s="4" t="s">
        <v>17</v>
      </c>
      <c r="B234" s="5">
        <v>42167</v>
      </c>
      <c r="C234" s="4" t="str">
        <f>"2/PNL/FPA"</f>
        <v>2/PNL/FPA</v>
      </c>
      <c r="D234" s="4">
        <v>0</v>
      </c>
      <c r="E234" s="5">
        <v>42206</v>
      </c>
      <c r="F234" s="4">
        <v>965</v>
      </c>
      <c r="G234" s="4">
        <v>466</v>
      </c>
      <c r="H234" s="4" t="s">
        <v>125</v>
      </c>
      <c r="I234" s="4">
        <v>3620860829</v>
      </c>
      <c r="J234" s="4" t="s">
        <v>126</v>
      </c>
      <c r="K234" s="4" t="s">
        <v>271</v>
      </c>
      <c r="L234" s="4">
        <v>122</v>
      </c>
      <c r="M234" s="4">
        <v>100</v>
      </c>
      <c r="N234" s="5">
        <v>42235</v>
      </c>
      <c r="O234" s="4"/>
      <c r="P234" s="4" t="s">
        <v>20</v>
      </c>
    </row>
    <row r="235" spans="1:16" x14ac:dyDescent="0.25">
      <c r="A235" s="4" t="s">
        <v>17</v>
      </c>
      <c r="B235" s="5">
        <v>42166</v>
      </c>
      <c r="C235" s="4" t="str">
        <f>"1/PNL/FPA"</f>
        <v>1/PNL/FPA</v>
      </c>
      <c r="D235" s="4">
        <v>0</v>
      </c>
      <c r="E235" s="5">
        <v>42178</v>
      </c>
      <c r="F235" s="4">
        <v>839</v>
      </c>
      <c r="G235" s="4">
        <v>466</v>
      </c>
      <c r="H235" s="4" t="s">
        <v>125</v>
      </c>
      <c r="I235" s="4">
        <v>3620860829</v>
      </c>
      <c r="J235" s="4" t="s">
        <v>126</v>
      </c>
      <c r="K235" s="4" t="s">
        <v>271</v>
      </c>
      <c r="L235" s="4">
        <v>122</v>
      </c>
      <c r="M235" s="4">
        <v>100</v>
      </c>
      <c r="N235" s="5">
        <v>42202</v>
      </c>
      <c r="O235" s="4"/>
      <c r="P235" s="4" t="s">
        <v>20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 (52)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Orsolinda Maccotta</dc:creator>
  <cp:lastModifiedBy>Orsolinda</cp:lastModifiedBy>
  <dcterms:created xsi:type="dcterms:W3CDTF">2023-04-03T12:13:06Z</dcterms:created>
  <dcterms:modified xsi:type="dcterms:W3CDTF">2023-04-03T12:13:26Z</dcterms:modified>
</cp:coreProperties>
</file>